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Data\bup2\excel\Sais2425\"/>
    </mc:Choice>
  </mc:AlternateContent>
  <xr:revisionPtr revIDLastSave="0" documentId="8_{31A03A43-B07C-4C1B-BDB7-F10F48254A5B}" xr6:coauthVersionLast="47" xr6:coauthVersionMax="47" xr10:uidLastSave="{00000000-0000-0000-0000-000000000000}"/>
  <bookViews>
    <workbookView xWindow="-110" yWindow="-110" windowWidth="19420" windowHeight="10300" xr2:uid="{9380B856-D37E-4774-97CE-75713B22009B}"/>
  </bookViews>
  <sheets>
    <sheet name="WWW" sheetId="1" r:id="rId1"/>
    <sheet name="Rankings" sheetId="2" r:id="rId2"/>
    <sheet name="L3_RL" sheetId="3" r:id="rId3"/>
    <sheet name="HVW" sheetId="4" r:id="rId4"/>
    <sheet name="BHV" sheetId="5" r:id="rId5"/>
    <sheet name="SHV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6" i="2" l="1"/>
  <c r="L164" i="2" s="1"/>
  <c r="L155" i="2"/>
  <c r="L163" i="2" s="1"/>
  <c r="L154" i="2"/>
  <c r="L162" i="2" s="1"/>
  <c r="L153" i="2"/>
  <c r="L161" i="2" s="1"/>
  <c r="L152" i="2"/>
  <c r="L160" i="2" s="1"/>
  <c r="L151" i="2"/>
  <c r="L159" i="2" s="1"/>
  <c r="L150" i="2"/>
  <c r="L158" i="2" s="1"/>
  <c r="L149" i="2"/>
  <c r="L157" i="2" s="1"/>
  <c r="L148" i="2"/>
  <c r="L146" i="2"/>
  <c r="L145" i="2"/>
  <c r="L144" i="2"/>
  <c r="L143" i="2"/>
  <c r="L142" i="2"/>
  <c r="L141" i="2"/>
  <c r="O244" i="1"/>
  <c r="O243" i="1"/>
  <c r="O242" i="1"/>
  <c r="O241" i="1"/>
  <c r="O240" i="1"/>
  <c r="O239" i="1"/>
  <c r="O238" i="1"/>
  <c r="O237" i="1"/>
  <c r="Q101" i="5" l="1"/>
  <c r="Q100" i="5"/>
  <c r="Q99" i="5"/>
  <c r="Q98" i="5"/>
  <c r="Q97" i="5"/>
  <c r="Q96" i="5"/>
  <c r="Q95" i="5"/>
  <c r="Q94" i="5"/>
  <c r="Q93" i="5"/>
  <c r="Q91" i="5"/>
  <c r="Q90" i="5"/>
  <c r="Q89" i="5"/>
  <c r="Q88" i="5"/>
  <c r="Q87" i="5"/>
  <c r="Q86" i="5"/>
  <c r="Q85" i="5"/>
  <c r="Q84" i="5"/>
  <c r="Q83" i="5"/>
  <c r="Q82" i="5"/>
  <c r="Q71" i="5"/>
  <c r="Q72" i="5"/>
  <c r="Q73" i="5"/>
  <c r="Q74" i="5"/>
  <c r="Q75" i="5"/>
  <c r="Q76" i="5"/>
  <c r="Q77" i="5"/>
  <c r="Q78" i="5"/>
  <c r="Q79" i="5"/>
  <c r="Q80" i="5"/>
  <c r="I493" i="2"/>
  <c r="Q43" i="5"/>
  <c r="Q55" i="5"/>
  <c r="Q54" i="5"/>
  <c r="Q53" i="5"/>
  <c r="Q52" i="5"/>
  <c r="Q51" i="5"/>
  <c r="Q50" i="5"/>
  <c r="Q49" i="5"/>
  <c r="Q48" i="5"/>
  <c r="Q47" i="5"/>
  <c r="Q46" i="5"/>
  <c r="Q45" i="5"/>
  <c r="Q44" i="5"/>
  <c r="Q42" i="5"/>
  <c r="Q41" i="5"/>
  <c r="Q40" i="5"/>
  <c r="Q39" i="5"/>
  <c r="Q38" i="5"/>
  <c r="Q37" i="5"/>
  <c r="Q36" i="5"/>
  <c r="Q35" i="5"/>
  <c r="Q34" i="5"/>
  <c r="Q33" i="5"/>
  <c r="Q32" i="5"/>
  <c r="G337" i="2" l="1"/>
  <c r="G336" i="2"/>
  <c r="G335" i="2"/>
  <c r="G334" i="2"/>
  <c r="G333" i="2"/>
  <c r="G332" i="2"/>
  <c r="G331" i="2"/>
  <c r="D337" i="2"/>
  <c r="D336" i="2"/>
  <c r="D335" i="2"/>
  <c r="D334" i="2"/>
  <c r="D333" i="2"/>
  <c r="D332" i="2"/>
  <c r="D331" i="2"/>
  <c r="I353" i="2"/>
  <c r="K443" i="2"/>
  <c r="K451" i="2" s="1"/>
  <c r="K459" i="2" s="1"/>
  <c r="K434" i="2"/>
  <c r="K442" i="2" s="1"/>
  <c r="K450" i="2" s="1"/>
  <c r="K458" i="2" s="1"/>
  <c r="K466" i="2" s="1"/>
  <c r="K433" i="2"/>
  <c r="K441" i="2" s="1"/>
  <c r="K449" i="2" s="1"/>
  <c r="K457" i="2" s="1"/>
  <c r="K465" i="2" s="1"/>
  <c r="K432" i="2"/>
  <c r="K440" i="2" s="1"/>
  <c r="K448" i="2" s="1"/>
  <c r="K456" i="2" s="1"/>
  <c r="K464" i="2" s="1"/>
  <c r="K431" i="2"/>
  <c r="K439" i="2" s="1"/>
  <c r="K447" i="2" s="1"/>
  <c r="K455" i="2" s="1"/>
  <c r="K463" i="2" s="1"/>
  <c r="K430" i="2"/>
  <c r="K438" i="2" s="1"/>
  <c r="K446" i="2" s="1"/>
  <c r="K454" i="2" s="1"/>
  <c r="K462" i="2" s="1"/>
  <c r="K429" i="2"/>
  <c r="K437" i="2" s="1"/>
  <c r="K445" i="2" s="1"/>
  <c r="K453" i="2" s="1"/>
  <c r="K461" i="2" s="1"/>
  <c r="K428" i="2"/>
  <c r="K436" i="2" s="1"/>
  <c r="K444" i="2" s="1"/>
  <c r="K452" i="2" s="1"/>
  <c r="K460" i="2" s="1"/>
  <c r="K397" i="2"/>
  <c r="K401" i="2" s="1"/>
  <c r="K405" i="2" s="1"/>
  <c r="K409" i="2" s="1"/>
  <c r="K396" i="2"/>
  <c r="K400" i="2" s="1"/>
  <c r="K404" i="2" s="1"/>
  <c r="K408" i="2" s="1"/>
  <c r="K395" i="2"/>
  <c r="K399" i="2" s="1"/>
  <c r="K403" i="2" s="1"/>
  <c r="K407" i="2" s="1"/>
  <c r="K411" i="2" s="1"/>
  <c r="K394" i="2"/>
  <c r="K398" i="2" s="1"/>
  <c r="K402" i="2" s="1"/>
  <c r="K406" i="2" s="1"/>
  <c r="K410" i="2" s="1"/>
  <c r="L389" i="2"/>
  <c r="L393" i="2" s="1"/>
  <c r="L397" i="2" s="1"/>
  <c r="L401" i="2" s="1"/>
  <c r="L405" i="2" s="1"/>
  <c r="L409" i="2" s="1"/>
  <c r="L388" i="2"/>
  <c r="L392" i="2" s="1"/>
  <c r="L396" i="2" s="1"/>
  <c r="L400" i="2" s="1"/>
  <c r="L404" i="2" s="1"/>
  <c r="L408" i="2" s="1"/>
  <c r="L387" i="2"/>
  <c r="L391" i="2" s="1"/>
  <c r="L395" i="2" s="1"/>
  <c r="L399" i="2" s="1"/>
  <c r="L403" i="2" s="1"/>
  <c r="L407" i="2" s="1"/>
  <c r="L411" i="2" s="1"/>
  <c r="L386" i="2"/>
  <c r="L390" i="2" s="1"/>
  <c r="L394" i="2" s="1"/>
  <c r="L398" i="2" s="1"/>
  <c r="L402" i="2" s="1"/>
  <c r="L406" i="2" s="1"/>
  <c r="L410" i="2" s="1"/>
  <c r="L385" i="2"/>
  <c r="L384" i="2"/>
  <c r="K377" i="2"/>
  <c r="K376" i="2"/>
  <c r="L360" i="2"/>
  <c r="L362" i="2" s="1"/>
  <c r="L364" i="2" s="1"/>
  <c r="L366" i="2" s="1"/>
  <c r="L368" i="2" s="1"/>
  <c r="L370" i="2" s="1"/>
  <c r="K360" i="2"/>
  <c r="K362" i="2" s="1"/>
  <c r="K364" i="2" s="1"/>
  <c r="K366" i="2" s="1"/>
  <c r="K368" i="2" s="1"/>
  <c r="K370" i="2" s="1"/>
  <c r="L359" i="2"/>
  <c r="L361" i="2" s="1"/>
  <c r="L363" i="2" s="1"/>
  <c r="L365" i="2" s="1"/>
  <c r="L367" i="2" s="1"/>
  <c r="L369" i="2" s="1"/>
  <c r="L371" i="2" s="1"/>
  <c r="L358" i="2"/>
  <c r="K358" i="2"/>
  <c r="L357" i="2"/>
  <c r="K357" i="2"/>
  <c r="K359" i="2" s="1"/>
  <c r="K361" i="2" s="1"/>
  <c r="K363" i="2" s="1"/>
  <c r="K365" i="2" s="1"/>
  <c r="K367" i="2" s="1"/>
  <c r="K369" i="2" s="1"/>
  <c r="K371" i="2" s="1"/>
  <c r="R101" i="5" l="1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R325" i="4"/>
  <c r="R324" i="4"/>
  <c r="R323" i="4"/>
  <c r="R322" i="4"/>
  <c r="R321" i="4"/>
  <c r="R320" i="4"/>
  <c r="R319" i="4"/>
  <c r="R318" i="4"/>
  <c r="R317" i="4"/>
  <c r="R316" i="4"/>
  <c r="R315" i="4"/>
  <c r="R314" i="4"/>
  <c r="R313" i="4"/>
  <c r="R312" i="4"/>
  <c r="R311" i="4"/>
  <c r="R310" i="4"/>
  <c r="R309" i="4"/>
  <c r="R308" i="4"/>
  <c r="R307" i="4"/>
  <c r="R306" i="4"/>
  <c r="R305" i="4"/>
  <c r="R304" i="4"/>
  <c r="R303" i="4"/>
  <c r="R302" i="4"/>
  <c r="R301" i="4"/>
  <c r="R300" i="4"/>
  <c r="R299" i="4"/>
  <c r="R298" i="4"/>
  <c r="R297" i="4"/>
  <c r="R296" i="4"/>
  <c r="R295" i="4"/>
  <c r="R294" i="4"/>
  <c r="R293" i="4"/>
  <c r="R292" i="4"/>
  <c r="R291" i="4"/>
  <c r="R290" i="4"/>
  <c r="R289" i="4"/>
  <c r="R288" i="4"/>
  <c r="R287" i="4"/>
  <c r="R286" i="4"/>
  <c r="R285" i="4"/>
  <c r="R284" i="4"/>
  <c r="R283" i="4"/>
  <c r="R282" i="4"/>
  <c r="R281" i="4"/>
  <c r="R280" i="4"/>
  <c r="R279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E237" i="1" l="1"/>
  <c r="I494" i="2" l="1"/>
  <c r="H220" i="2" l="1"/>
  <c r="H221" i="2" s="1"/>
  <c r="B220" i="2"/>
  <c r="B221" i="2" s="1"/>
  <c r="P32" i="1" l="1"/>
  <c r="P31" i="1"/>
  <c r="P30" i="1"/>
  <c r="P29" i="1"/>
  <c r="P15" i="1"/>
  <c r="P14" i="1"/>
  <c r="N176" i="1"/>
  <c r="N177" i="1" s="1"/>
  <c r="N178" i="1" s="1"/>
  <c r="N179" i="1" s="1"/>
  <c r="N180" i="1" s="1"/>
  <c r="N181" i="1" s="1"/>
  <c r="N182" i="1" s="1"/>
  <c r="N183" i="1" s="1"/>
  <c r="N184" i="1" s="1"/>
  <c r="N185" i="1" s="1"/>
  <c r="N132" i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70" i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38" i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H527" i="2"/>
  <c r="H528" i="2" s="1"/>
  <c r="B527" i="2"/>
  <c r="B528" i="2" s="1"/>
  <c r="B529" i="2" s="1"/>
  <c r="B530" i="2" s="1"/>
  <c r="B531" i="2" s="1"/>
  <c r="I526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H472" i="2"/>
  <c r="H473" i="2" s="1"/>
  <c r="H474" i="2" s="1"/>
  <c r="B472" i="2"/>
  <c r="B473" i="2" s="1"/>
  <c r="B474" i="2" s="1"/>
  <c r="I471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387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57" i="2"/>
  <c r="I356" i="2"/>
  <c r="I355" i="2"/>
  <c r="I354" i="2"/>
  <c r="I352" i="2"/>
  <c r="I351" i="2"/>
  <c r="I350" i="2"/>
  <c r="I349" i="2"/>
  <c r="I348" i="2"/>
  <c r="I347" i="2"/>
  <c r="I346" i="2"/>
  <c r="I345" i="2"/>
  <c r="H345" i="2"/>
  <c r="B345" i="2"/>
  <c r="I344" i="2"/>
  <c r="I339" i="2"/>
  <c r="J339" i="2" s="1"/>
  <c r="T73" i="3"/>
  <c r="P73" i="3"/>
  <c r="T72" i="3"/>
  <c r="P72" i="3"/>
  <c r="T71" i="3"/>
  <c r="P71" i="3"/>
  <c r="T70" i="3"/>
  <c r="P70" i="3"/>
  <c r="T69" i="3"/>
  <c r="P69" i="3"/>
  <c r="T68" i="3"/>
  <c r="P68" i="3"/>
  <c r="T67" i="3"/>
  <c r="P67" i="3"/>
  <c r="T66" i="3"/>
  <c r="P66" i="3"/>
  <c r="T65" i="3"/>
  <c r="P65" i="3"/>
  <c r="T64" i="3"/>
  <c r="P64" i="3"/>
  <c r="T63" i="3"/>
  <c r="P63" i="3"/>
  <c r="T62" i="3"/>
  <c r="P62" i="3"/>
  <c r="T61" i="3"/>
  <c r="P61" i="3"/>
  <c r="T60" i="3"/>
  <c r="P60" i="3"/>
  <c r="T58" i="3"/>
  <c r="P58" i="3"/>
  <c r="Q58" i="3" s="1"/>
  <c r="T57" i="3"/>
  <c r="P57" i="3"/>
  <c r="Q57" i="3" s="1"/>
  <c r="P56" i="3"/>
  <c r="P55" i="3"/>
  <c r="P54" i="3"/>
  <c r="P53" i="3"/>
  <c r="P52" i="3"/>
  <c r="P51" i="3"/>
  <c r="P50" i="3"/>
  <c r="P49" i="3"/>
  <c r="P48" i="3"/>
  <c r="P47" i="3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V175" i="4"/>
  <c r="V176" i="4" s="1"/>
  <c r="V177" i="4" s="1"/>
  <c r="V178" i="4" s="1"/>
  <c r="Q175" i="4"/>
  <c r="Q174" i="4"/>
  <c r="Q92" i="5"/>
  <c r="W81" i="5"/>
  <c r="Q81" i="5"/>
  <c r="W80" i="5"/>
  <c r="W79" i="5"/>
  <c r="W78" i="5"/>
  <c r="W77" i="5"/>
  <c r="W76" i="5"/>
  <c r="W75" i="5"/>
  <c r="W74" i="5"/>
  <c r="W73" i="5"/>
  <c r="W72" i="5"/>
  <c r="W71" i="5"/>
  <c r="W70" i="5"/>
  <c r="Q70" i="5"/>
  <c r="Q69" i="5"/>
  <c r="Q68" i="5"/>
  <c r="Q67" i="5"/>
  <c r="Q66" i="5"/>
  <c r="Q65" i="5"/>
  <c r="Q64" i="5"/>
  <c r="Q63" i="5"/>
  <c r="Q62" i="5"/>
  <c r="Q61" i="5"/>
  <c r="Q60" i="5"/>
  <c r="V59" i="5"/>
  <c r="V60" i="5" s="1"/>
  <c r="Q59" i="5"/>
  <c r="S58" i="5"/>
  <c r="Q58" i="5"/>
  <c r="R90" i="7"/>
  <c r="Q90" i="7"/>
  <c r="R89" i="7"/>
  <c r="Q89" i="7"/>
  <c r="R88" i="7"/>
  <c r="Q88" i="7"/>
  <c r="R87" i="7"/>
  <c r="Q87" i="7"/>
  <c r="R86" i="7"/>
  <c r="Q86" i="7"/>
  <c r="R85" i="7"/>
  <c r="Q85" i="7"/>
  <c r="R84" i="7"/>
  <c r="Q84" i="7"/>
  <c r="R83" i="7"/>
  <c r="Q83" i="7"/>
  <c r="R82" i="7"/>
  <c r="Q82" i="7"/>
  <c r="R81" i="7"/>
  <c r="Q81" i="7"/>
  <c r="R80" i="7"/>
  <c r="Q80" i="7"/>
  <c r="R79" i="7"/>
  <c r="Q79" i="7"/>
  <c r="R78" i="7"/>
  <c r="Q78" i="7"/>
  <c r="R77" i="7"/>
  <c r="Q77" i="7"/>
  <c r="R76" i="7"/>
  <c r="Q76" i="7"/>
  <c r="R75" i="7"/>
  <c r="Q75" i="7"/>
  <c r="R74" i="7"/>
  <c r="Q74" i="7"/>
  <c r="R73" i="7"/>
  <c r="Q73" i="7"/>
  <c r="R72" i="7"/>
  <c r="Q72" i="7"/>
  <c r="R71" i="7"/>
  <c r="Q71" i="7"/>
  <c r="R70" i="7"/>
  <c r="Q70" i="7"/>
  <c r="R69" i="7"/>
  <c r="Q69" i="7"/>
  <c r="R68" i="7"/>
  <c r="Q68" i="7"/>
  <c r="R67" i="7"/>
  <c r="Q67" i="7"/>
  <c r="R66" i="7"/>
  <c r="Q66" i="7"/>
  <c r="R65" i="7"/>
  <c r="Q65" i="7"/>
  <c r="R64" i="7"/>
  <c r="Q64" i="7"/>
  <c r="R63" i="7"/>
  <c r="Q63" i="7"/>
  <c r="W62" i="7"/>
  <c r="R62" i="7"/>
  <c r="Q62" i="7"/>
  <c r="W61" i="7"/>
  <c r="R61" i="7"/>
  <c r="Q61" i="7"/>
  <c r="W60" i="7"/>
  <c r="R60" i="7"/>
  <c r="Q60" i="7"/>
  <c r="W59" i="7"/>
  <c r="R59" i="7"/>
  <c r="Q59" i="7"/>
  <c r="W58" i="7"/>
  <c r="R58" i="7"/>
  <c r="Q58" i="7"/>
  <c r="W57" i="7"/>
  <c r="R57" i="7"/>
  <c r="Q57" i="7"/>
  <c r="W56" i="7"/>
  <c r="R56" i="7"/>
  <c r="Q56" i="7"/>
  <c r="W55" i="7"/>
  <c r="R55" i="7"/>
  <c r="Q55" i="7"/>
  <c r="W54" i="7"/>
  <c r="R54" i="7"/>
  <c r="Q54" i="7"/>
  <c r="W53" i="7"/>
  <c r="R53" i="7"/>
  <c r="Q53" i="7"/>
  <c r="W52" i="7"/>
  <c r="V52" i="7"/>
  <c r="V53" i="7" s="1"/>
  <c r="R52" i="7"/>
  <c r="Q52" i="7"/>
  <c r="W51" i="7"/>
  <c r="S51" i="7"/>
  <c r="R51" i="7"/>
  <c r="Q51" i="7"/>
  <c r="P42" i="3"/>
  <c r="R42" i="3" s="1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R41" i="3" l="1"/>
  <c r="R39" i="3" s="1"/>
  <c r="R38" i="3" s="1"/>
  <c r="R37" i="3" s="1"/>
  <c r="R36" i="1"/>
  <c r="R35" i="1"/>
  <c r="I389" i="2"/>
  <c r="I393" i="2"/>
  <c r="I432" i="2"/>
  <c r="I359" i="2"/>
  <c r="I386" i="2"/>
  <c r="I431" i="2"/>
  <c r="I436" i="2"/>
  <c r="I388" i="2"/>
  <c r="I435" i="2"/>
  <c r="S52" i="7"/>
  <c r="S59" i="5"/>
  <c r="R40" i="3"/>
  <c r="I360" i="2"/>
  <c r="I363" i="2"/>
  <c r="I361" i="2"/>
  <c r="I392" i="2"/>
  <c r="B346" i="2"/>
  <c r="H346" i="2"/>
  <c r="I439" i="2"/>
  <c r="I390" i="2"/>
  <c r="I358" i="2"/>
  <c r="I401" i="2"/>
  <c r="I397" i="2"/>
  <c r="H475" i="2"/>
  <c r="I438" i="2"/>
  <c r="I443" i="2"/>
  <c r="I444" i="2"/>
  <c r="I451" i="2"/>
  <c r="I442" i="2"/>
  <c r="I433" i="2"/>
  <c r="I440" i="2"/>
  <c r="I437" i="2"/>
  <c r="I430" i="2"/>
  <c r="I434" i="2"/>
  <c r="B475" i="2"/>
  <c r="B532" i="2"/>
  <c r="H529" i="2"/>
  <c r="R58" i="3"/>
  <c r="S58" i="3" s="1"/>
  <c r="I3" i="3"/>
  <c r="R57" i="3"/>
  <c r="S57" i="3" s="1"/>
  <c r="V179" i="4"/>
  <c r="V61" i="5"/>
  <c r="S60" i="5"/>
  <c r="S53" i="7"/>
  <c r="V54" i="7"/>
  <c r="I269" i="2"/>
  <c r="I268" i="2"/>
  <c r="I267" i="2"/>
  <c r="I266" i="2"/>
  <c r="R36" i="3" l="1"/>
  <c r="R35" i="3" s="1"/>
  <c r="C308" i="2"/>
  <c r="E308" i="2" s="1" a="1"/>
  <c r="E308" i="2" s="1"/>
  <c r="C307" i="2"/>
  <c r="E307" i="2" s="1" a="1"/>
  <c r="E307" i="2" s="1"/>
  <c r="P17" i="1" s="1" a="1"/>
  <c r="P17" i="1" s="1"/>
  <c r="C309" i="2"/>
  <c r="E309" i="2" s="1" a="1"/>
  <c r="E309" i="2" s="1"/>
  <c r="I4" i="3"/>
  <c r="P10" i="1" s="1"/>
  <c r="P12" i="1" s="1"/>
  <c r="J4" i="3" s="1"/>
  <c r="I5" i="3" s="1"/>
  <c r="J5" i="3" s="1"/>
  <c r="P22" i="1" a="1"/>
  <c r="P22" i="1" s="1"/>
  <c r="P18" i="1" a="1"/>
  <c r="P18" i="1" s="1"/>
  <c r="O22" i="1" a="1"/>
  <c r="O22" i="1" s="1"/>
  <c r="O18" i="1" a="1"/>
  <c r="O18" i="1" s="1"/>
  <c r="P21" i="1" a="1"/>
  <c r="P21" i="1" s="1"/>
  <c r="O21" i="1" a="1"/>
  <c r="O21" i="1" s="1"/>
  <c r="O17" i="1" a="1"/>
  <c r="O17" i="1" s="1"/>
  <c r="P24" i="1" a="1"/>
  <c r="P24" i="1" s="1"/>
  <c r="P20" i="1" a="1"/>
  <c r="P20" i="1" s="1"/>
  <c r="O24" i="1" a="1"/>
  <c r="O24" i="1" s="1"/>
  <c r="O20" i="1" a="1"/>
  <c r="O20" i="1" s="1"/>
  <c r="P23" i="1" a="1"/>
  <c r="P23" i="1" s="1"/>
  <c r="P19" i="1" a="1"/>
  <c r="P19" i="1" s="1"/>
  <c r="O23" i="1" a="1"/>
  <c r="O23" i="1" s="1"/>
  <c r="O19" i="1" a="1"/>
  <c r="O19" i="1" s="1"/>
  <c r="I394" i="2"/>
  <c r="H530" i="2"/>
  <c r="I446" i="2"/>
  <c r="I450" i="2"/>
  <c r="B476" i="2"/>
  <c r="I441" i="2"/>
  <c r="I447" i="2"/>
  <c r="I396" i="2"/>
  <c r="I362" i="2"/>
  <c r="I459" i="2"/>
  <c r="K467" i="2"/>
  <c r="I467" i="2" s="1"/>
  <c r="I448" i="2"/>
  <c r="B533" i="2"/>
  <c r="I445" i="2"/>
  <c r="I405" i="2"/>
  <c r="H347" i="2"/>
  <c r="I391" i="2"/>
  <c r="I452" i="2"/>
  <c r="I460" i="2"/>
  <c r="H476" i="2"/>
  <c r="I409" i="2"/>
  <c r="I413" i="2"/>
  <c r="B347" i="2"/>
  <c r="I365" i="2"/>
  <c r="V180" i="4"/>
  <c r="V62" i="5"/>
  <c r="S61" i="5"/>
  <c r="S54" i="7"/>
  <c r="V55" i="7"/>
  <c r="F32" i="1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H226" i="2"/>
  <c r="I225" i="2"/>
  <c r="B226" i="2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Q47" i="7"/>
  <c r="R47" i="7"/>
  <c r="R46" i="7"/>
  <c r="R43" i="7"/>
  <c r="Q42" i="7"/>
  <c r="R42" i="7"/>
  <c r="R41" i="7"/>
  <c r="Q38" i="7"/>
  <c r="R36" i="7"/>
  <c r="R35" i="7"/>
  <c r="R33" i="7"/>
  <c r="R48" i="7"/>
  <c r="Q28" i="7"/>
  <c r="R19" i="7"/>
  <c r="R16" i="7"/>
  <c r="Q4" i="7"/>
  <c r="R4" i="7"/>
  <c r="Q46" i="7"/>
  <c r="Q41" i="7"/>
  <c r="Q29" i="7"/>
  <c r="R28" i="7"/>
  <c r="V4" i="7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F31" i="1"/>
  <c r="I176" i="2"/>
  <c r="I175" i="2"/>
  <c r="I174" i="2"/>
  <c r="I173" i="2"/>
  <c r="I172" i="2"/>
  <c r="I171" i="2"/>
  <c r="I170" i="2"/>
  <c r="I169" i="2"/>
  <c r="H169" i="2"/>
  <c r="B169" i="2"/>
  <c r="I168" i="2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Q31" i="5"/>
  <c r="Q30" i="5"/>
  <c r="Q24" i="5"/>
  <c r="Q22" i="5"/>
  <c r="Q17" i="5"/>
  <c r="Q15" i="5"/>
  <c r="Q13" i="5"/>
  <c r="Q9" i="5"/>
  <c r="Q23" i="5"/>
  <c r="Q21" i="5"/>
  <c r="Q12" i="5"/>
  <c r="Q8" i="5"/>
  <c r="V4" i="5"/>
  <c r="S3" i="5"/>
  <c r="Q3" i="5"/>
  <c r="D190" i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176" i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32" i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70" i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113" i="4"/>
  <c r="Q105" i="4"/>
  <c r="F30" i="1"/>
  <c r="F29" i="1"/>
  <c r="V4" i="4"/>
  <c r="V5" i="4" s="1"/>
  <c r="V6" i="4" s="1"/>
  <c r="D36" i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T25" i="3"/>
  <c r="T24" i="3"/>
  <c r="T23" i="3"/>
  <c r="F15" i="1"/>
  <c r="F14" i="1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P25" i="3"/>
  <c r="P24" i="3"/>
  <c r="P23" i="3"/>
  <c r="R34" i="3" l="1"/>
  <c r="R33" i="3" s="1"/>
  <c r="B170" i="2"/>
  <c r="Q70" i="3"/>
  <c r="Q69" i="3"/>
  <c r="Q65" i="3"/>
  <c r="Q64" i="3"/>
  <c r="Q66" i="3"/>
  <c r="Q63" i="3"/>
  <c r="Q62" i="3"/>
  <c r="Q61" i="3"/>
  <c r="Q72" i="3"/>
  <c r="Q68" i="3"/>
  <c r="Q71" i="3"/>
  <c r="Q67" i="3"/>
  <c r="Q60" i="3"/>
  <c r="Q73" i="3"/>
  <c r="R73" i="3" s="1"/>
  <c r="F3" i="3"/>
  <c r="F4" i="3" s="1"/>
  <c r="F10" i="1" s="1"/>
  <c r="F12" i="1" s="1"/>
  <c r="G4" i="3" s="1"/>
  <c r="Q23" i="3"/>
  <c r="R23" i="3"/>
  <c r="S23" i="3" s="1"/>
  <c r="R25" i="3"/>
  <c r="S25" i="3" s="1"/>
  <c r="Q25" i="3"/>
  <c r="Q24" i="3"/>
  <c r="R24" i="3"/>
  <c r="S24" i="3" s="1"/>
  <c r="I449" i="2"/>
  <c r="I466" i="2"/>
  <c r="I458" i="2"/>
  <c r="I398" i="2"/>
  <c r="I453" i="2"/>
  <c r="I461" i="2"/>
  <c r="I400" i="2"/>
  <c r="I454" i="2"/>
  <c r="I462" i="2"/>
  <c r="I367" i="2"/>
  <c r="I395" i="2"/>
  <c r="B534" i="2"/>
  <c r="B477" i="2"/>
  <c r="H477" i="2"/>
  <c r="I364" i="2"/>
  <c r="I455" i="2"/>
  <c r="I463" i="2"/>
  <c r="H531" i="2"/>
  <c r="I464" i="2"/>
  <c r="I456" i="2"/>
  <c r="B348" i="2"/>
  <c r="H348" i="2"/>
  <c r="V181" i="4"/>
  <c r="V63" i="5"/>
  <c r="S62" i="5"/>
  <c r="S55" i="7"/>
  <c r="V56" i="7"/>
  <c r="B227" i="2"/>
  <c r="H227" i="2"/>
  <c r="H170" i="2"/>
  <c r="Q45" i="7"/>
  <c r="R45" i="7"/>
  <c r="R34" i="7"/>
  <c r="Q37" i="7"/>
  <c r="Q39" i="7"/>
  <c r="R44" i="7"/>
  <c r="Q16" i="7"/>
  <c r="R38" i="7"/>
  <c r="R32" i="7"/>
  <c r="Q34" i="7"/>
  <c r="Q36" i="7"/>
  <c r="R37" i="7"/>
  <c r="R39" i="7"/>
  <c r="R40" i="7"/>
  <c r="Q44" i="7"/>
  <c r="Q35" i="7"/>
  <c r="Q43" i="7"/>
  <c r="Q40" i="7"/>
  <c r="Q32" i="7"/>
  <c r="Q19" i="7"/>
  <c r="Q33" i="7"/>
  <c r="Q8" i="7"/>
  <c r="Q30" i="7"/>
  <c r="Q48" i="7"/>
  <c r="Q12" i="7"/>
  <c r="Q24" i="7"/>
  <c r="Q25" i="7"/>
  <c r="R15" i="7"/>
  <c r="R8" i="7"/>
  <c r="R21" i="7"/>
  <c r="Q22" i="7"/>
  <c r="R5" i="7"/>
  <c r="Q20" i="7"/>
  <c r="R23" i="7"/>
  <c r="R9" i="7"/>
  <c r="R17" i="7"/>
  <c r="R27" i="7"/>
  <c r="R12" i="7"/>
  <c r="Q21" i="7"/>
  <c r="R20" i="7"/>
  <c r="R29" i="7"/>
  <c r="R31" i="7"/>
  <c r="R25" i="7"/>
  <c r="R13" i="7"/>
  <c r="Q27" i="7"/>
  <c r="Q5" i="7"/>
  <c r="Q7" i="7"/>
  <c r="R11" i="7"/>
  <c r="R22" i="7"/>
  <c r="Q23" i="7"/>
  <c r="R30" i="7"/>
  <c r="Q31" i="7"/>
  <c r="S3" i="7"/>
  <c r="R14" i="7"/>
  <c r="Q17" i="7"/>
  <c r="R24" i="7"/>
  <c r="Q14" i="7"/>
  <c r="R6" i="7"/>
  <c r="Q9" i="7"/>
  <c r="Q11" i="7"/>
  <c r="R18" i="7"/>
  <c r="R26" i="7"/>
  <c r="Q6" i="7"/>
  <c r="Q18" i="7"/>
  <c r="Q3" i="7"/>
  <c r="S4" i="7"/>
  <c r="R7" i="7"/>
  <c r="Q10" i="7"/>
  <c r="R10" i="7"/>
  <c r="Q13" i="7"/>
  <c r="Q15" i="7"/>
  <c r="Q26" i="7"/>
  <c r="V5" i="7"/>
  <c r="R3" i="7"/>
  <c r="B171" i="2"/>
  <c r="Q4" i="5"/>
  <c r="Q7" i="5"/>
  <c r="Q25" i="5"/>
  <c r="Q5" i="5"/>
  <c r="Q29" i="5"/>
  <c r="Q6" i="5"/>
  <c r="Q11" i="5"/>
  <c r="Q16" i="5"/>
  <c r="Q27" i="5"/>
  <c r="Q19" i="5"/>
  <c r="Q10" i="5"/>
  <c r="Q18" i="5"/>
  <c r="Q26" i="5"/>
  <c r="S4" i="5"/>
  <c r="V5" i="5"/>
  <c r="Q14" i="5"/>
  <c r="Q20" i="5"/>
  <c r="Q28" i="5"/>
  <c r="Q103" i="4"/>
  <c r="Q111" i="4"/>
  <c r="Q102" i="4"/>
  <c r="Q104" i="4"/>
  <c r="Q106" i="4"/>
  <c r="Q108" i="4"/>
  <c r="Q110" i="4"/>
  <c r="Q112" i="4"/>
  <c r="Q107" i="4"/>
  <c r="Q109" i="4"/>
  <c r="V7" i="4"/>
  <c r="I36" i="2"/>
  <c r="J36" i="2" s="1"/>
  <c r="G34" i="2"/>
  <c r="G33" i="2"/>
  <c r="G32" i="2"/>
  <c r="G31" i="2"/>
  <c r="G30" i="2"/>
  <c r="G29" i="2"/>
  <c r="G28" i="2"/>
  <c r="I124" i="2"/>
  <c r="I123" i="2"/>
  <c r="I122" i="2"/>
  <c r="I121" i="2"/>
  <c r="I120" i="2"/>
  <c r="I119" i="2"/>
  <c r="I118" i="2"/>
  <c r="I117" i="2"/>
  <c r="I80" i="2"/>
  <c r="I79" i="2"/>
  <c r="I78" i="2"/>
  <c r="I77" i="2"/>
  <c r="E27" i="1" l="1" a="1"/>
  <c r="E27" i="1" s="1"/>
  <c r="E24" i="1" a="1"/>
  <c r="E24" i="1" s="1"/>
  <c r="E28" i="1" a="1"/>
  <c r="E28" i="1" s="1"/>
  <c r="R32" i="3"/>
  <c r="R31" i="3" s="1"/>
  <c r="R30" i="3" s="1"/>
  <c r="R29" i="3" s="1"/>
  <c r="F19" i="1" a="1"/>
  <c r="F19" i="1" s="1"/>
  <c r="E19" i="1" a="1"/>
  <c r="E19" i="1" s="1"/>
  <c r="E23" i="1" a="1"/>
  <c r="E23" i="1" s="1"/>
  <c r="E26" i="1" a="1"/>
  <c r="E26" i="1" s="1"/>
  <c r="F22" i="1" a="1"/>
  <c r="F22" i="1" s="1"/>
  <c r="E25" i="1" a="1"/>
  <c r="E25" i="1" s="1"/>
  <c r="E22" i="1" a="1"/>
  <c r="E22" i="1" s="1"/>
  <c r="F27" i="1" a="1"/>
  <c r="F27" i="1" s="1"/>
  <c r="E17" i="1" a="1"/>
  <c r="E17" i="1" s="1"/>
  <c r="F18" i="1" a="1"/>
  <c r="F18" i="1" s="1"/>
  <c r="F26" i="1" a="1"/>
  <c r="F26" i="1" s="1"/>
  <c r="E18" i="1" a="1"/>
  <c r="E18" i="1" s="1"/>
  <c r="F24" i="1" a="1"/>
  <c r="F24" i="1" s="1"/>
  <c r="F21" i="1" a="1"/>
  <c r="F21" i="1" s="1"/>
  <c r="F25" i="1" a="1"/>
  <c r="F25" i="1" s="1"/>
  <c r="I8" i="3"/>
  <c r="I7" i="3"/>
  <c r="I6" i="3"/>
  <c r="F23" i="1" a="1"/>
  <c r="F23" i="1" s="1"/>
  <c r="F28" i="1" a="1"/>
  <c r="F28" i="1" s="1"/>
  <c r="E20" i="1" a="1"/>
  <c r="E20" i="1" s="1"/>
  <c r="S73" i="3"/>
  <c r="R72" i="3"/>
  <c r="S72" i="3" s="1"/>
  <c r="F20" i="1" a="1"/>
  <c r="F20" i="1" s="1"/>
  <c r="E21" i="1" a="1"/>
  <c r="E21" i="1" s="1"/>
  <c r="I402" i="2"/>
  <c r="H532" i="2"/>
  <c r="H478" i="2"/>
  <c r="I369" i="2"/>
  <c r="B535" i="2"/>
  <c r="I404" i="2"/>
  <c r="I465" i="2"/>
  <c r="I457" i="2"/>
  <c r="I366" i="2"/>
  <c r="B478" i="2"/>
  <c r="H349" i="2"/>
  <c r="B349" i="2"/>
  <c r="I399" i="2"/>
  <c r="V182" i="4"/>
  <c r="V64" i="5"/>
  <c r="S63" i="5"/>
  <c r="V57" i="7"/>
  <c r="S56" i="7"/>
  <c r="C5" i="2"/>
  <c r="E5" i="2" s="1" a="1"/>
  <c r="E5" i="2" s="1"/>
  <c r="F17" i="1" s="1" a="1"/>
  <c r="F17" i="1" s="1"/>
  <c r="C7" i="2"/>
  <c r="E7" i="2" s="1" a="1"/>
  <c r="E7" i="2" s="1"/>
  <c r="C6" i="2"/>
  <c r="E6" i="2" s="1" a="1"/>
  <c r="E6" i="2" s="1"/>
  <c r="H228" i="2"/>
  <c r="B228" i="2"/>
  <c r="H171" i="2"/>
  <c r="V6" i="7"/>
  <c r="S5" i="7"/>
  <c r="B172" i="2"/>
  <c r="S5" i="5"/>
  <c r="V6" i="5"/>
  <c r="V8" i="4"/>
  <c r="R71" i="3" l="1"/>
  <c r="S71" i="3" s="1"/>
  <c r="I403" i="2"/>
  <c r="I368" i="2"/>
  <c r="H350" i="2"/>
  <c r="I412" i="2"/>
  <c r="I408" i="2"/>
  <c r="I410" i="2"/>
  <c r="I406" i="2"/>
  <c r="H479" i="2"/>
  <c r="B536" i="2"/>
  <c r="H533" i="2"/>
  <c r="B479" i="2"/>
  <c r="I371" i="2"/>
  <c r="I373" i="2"/>
  <c r="B350" i="2"/>
  <c r="V183" i="4"/>
  <c r="V65" i="5"/>
  <c r="S64" i="5"/>
  <c r="V58" i="7"/>
  <c r="S57" i="7"/>
  <c r="H229" i="2"/>
  <c r="H172" i="2"/>
  <c r="H173" i="2" s="1"/>
  <c r="B229" i="2"/>
  <c r="S6" i="7"/>
  <c r="V7" i="7"/>
  <c r="B173" i="2"/>
  <c r="S6" i="5"/>
  <c r="V7" i="5"/>
  <c r="V9" i="4"/>
  <c r="R70" i="3" l="1"/>
  <c r="S70" i="3" s="1"/>
  <c r="B480" i="2"/>
  <c r="B351" i="2"/>
  <c r="H534" i="2"/>
  <c r="B537" i="2"/>
  <c r="H351" i="2"/>
  <c r="I370" i="2"/>
  <c r="I372" i="2"/>
  <c r="H480" i="2"/>
  <c r="I411" i="2"/>
  <c r="I407" i="2"/>
  <c r="R68" i="3"/>
  <c r="V184" i="4"/>
  <c r="V66" i="5"/>
  <c r="S65" i="5"/>
  <c r="V59" i="7"/>
  <c r="S58" i="7"/>
  <c r="B230" i="2"/>
  <c r="H230" i="2"/>
  <c r="S7" i="7"/>
  <c r="V8" i="7"/>
  <c r="H174" i="2"/>
  <c r="B174" i="2"/>
  <c r="S7" i="5"/>
  <c r="V8" i="5"/>
  <c r="V10" i="4"/>
  <c r="R69" i="3" l="1"/>
  <c r="S69" i="3" s="1"/>
  <c r="H535" i="2"/>
  <c r="H352" i="2"/>
  <c r="B538" i="2"/>
  <c r="B352" i="2"/>
  <c r="H481" i="2"/>
  <c r="B481" i="2"/>
  <c r="S68" i="3"/>
  <c r="R67" i="3"/>
  <c r="V185" i="4"/>
  <c r="V67" i="5"/>
  <c r="S66" i="5"/>
  <c r="V60" i="7"/>
  <c r="S59" i="7"/>
  <c r="B231" i="2"/>
  <c r="H231" i="2"/>
  <c r="S8" i="7"/>
  <c r="V9" i="7"/>
  <c r="B175" i="2"/>
  <c r="H175" i="2"/>
  <c r="S8" i="5"/>
  <c r="V9" i="5"/>
  <c r="V11" i="4"/>
  <c r="B482" i="2" l="1"/>
  <c r="H536" i="2"/>
  <c r="H353" i="2"/>
  <c r="H482" i="2"/>
  <c r="B353" i="2"/>
  <c r="B539" i="2"/>
  <c r="S67" i="3"/>
  <c r="R66" i="3"/>
  <c r="V186" i="4"/>
  <c r="S67" i="5"/>
  <c r="V68" i="5"/>
  <c r="V61" i="7"/>
  <c r="S60" i="7"/>
  <c r="H232" i="2"/>
  <c r="B232" i="2"/>
  <c r="V10" i="7"/>
  <c r="S9" i="7"/>
  <c r="H176" i="2"/>
  <c r="B176" i="2"/>
  <c r="S9" i="5"/>
  <c r="V10" i="5"/>
  <c r="V12" i="4"/>
  <c r="H537" i="2" l="1"/>
  <c r="H483" i="2"/>
  <c r="B540" i="2"/>
  <c r="B354" i="2"/>
  <c r="H354" i="2"/>
  <c r="B483" i="2"/>
  <c r="R65" i="3"/>
  <c r="S66" i="3"/>
  <c r="V187" i="4"/>
  <c r="V69" i="5"/>
  <c r="S68" i="5"/>
  <c r="S61" i="7"/>
  <c r="V62" i="7"/>
  <c r="B233" i="2"/>
  <c r="H233" i="2"/>
  <c r="B177" i="2"/>
  <c r="H177" i="2"/>
  <c r="V11" i="7"/>
  <c r="S10" i="7"/>
  <c r="S10" i="5"/>
  <c r="V11" i="5"/>
  <c r="V13" i="4"/>
  <c r="B484" i="2" l="1"/>
  <c r="H355" i="2"/>
  <c r="H538" i="2"/>
  <c r="B541" i="2"/>
  <c r="B355" i="2"/>
  <c r="H484" i="2"/>
  <c r="S65" i="3"/>
  <c r="R64" i="3"/>
  <c r="V188" i="4"/>
  <c r="V70" i="5"/>
  <c r="S69" i="5"/>
  <c r="S62" i="7"/>
  <c r="V63" i="7"/>
  <c r="H234" i="2"/>
  <c r="B234" i="2"/>
  <c r="H178" i="2"/>
  <c r="B178" i="2"/>
  <c r="S11" i="7"/>
  <c r="V12" i="7"/>
  <c r="V12" i="5"/>
  <c r="S11" i="5"/>
  <c r="V14" i="4"/>
  <c r="B356" i="2" l="1"/>
  <c r="H539" i="2"/>
  <c r="B485" i="2"/>
  <c r="H485" i="2"/>
  <c r="H356" i="2"/>
  <c r="B542" i="2"/>
  <c r="S64" i="3"/>
  <c r="R63" i="3"/>
  <c r="V189" i="4"/>
  <c r="V71" i="5"/>
  <c r="S70" i="5"/>
  <c r="S63" i="7"/>
  <c r="V64" i="7"/>
  <c r="B235" i="2"/>
  <c r="H235" i="2"/>
  <c r="B179" i="2"/>
  <c r="H179" i="2"/>
  <c r="S12" i="7"/>
  <c r="V13" i="7"/>
  <c r="S12" i="5"/>
  <c r="V13" i="5"/>
  <c r="V15" i="4"/>
  <c r="H540" i="2" l="1"/>
  <c r="B357" i="2"/>
  <c r="B543" i="2"/>
  <c r="H486" i="2"/>
  <c r="B486" i="2"/>
  <c r="H357" i="2"/>
  <c r="S63" i="3"/>
  <c r="R62" i="3"/>
  <c r="S62" i="3" s="1"/>
  <c r="V190" i="4"/>
  <c r="V72" i="5"/>
  <c r="S71" i="5"/>
  <c r="V65" i="7"/>
  <c r="S64" i="7"/>
  <c r="H236" i="2"/>
  <c r="B236" i="2"/>
  <c r="H180" i="2"/>
  <c r="B180" i="2"/>
  <c r="V14" i="7"/>
  <c r="S13" i="7"/>
  <c r="S13" i="5"/>
  <c r="V14" i="5"/>
  <c r="V16" i="4"/>
  <c r="C327" i="2" l="1"/>
  <c r="C320" i="2"/>
  <c r="C313" i="2"/>
  <c r="E313" i="2" s="1" a="1"/>
  <c r="E313" i="2" s="1"/>
  <c r="C326" i="2"/>
  <c r="C318" i="2"/>
  <c r="E318" i="2" s="1" a="1"/>
  <c r="E318" i="2" s="1"/>
  <c r="C321" i="2"/>
  <c r="E321" i="2" s="1" a="1"/>
  <c r="E321" i="2" s="1"/>
  <c r="C317" i="2"/>
  <c r="E317" i="2" s="1" a="1"/>
  <c r="E317" i="2" s="1"/>
  <c r="C312" i="2"/>
  <c r="B339" i="2" s="1"/>
  <c r="C324" i="2"/>
  <c r="E324" i="2" s="1" a="1"/>
  <c r="E324" i="2" s="1"/>
  <c r="C316" i="2"/>
  <c r="E316" i="2" s="1" a="1"/>
  <c r="E316" i="2" s="1"/>
  <c r="C315" i="2"/>
  <c r="E315" i="2" s="1" a="1"/>
  <c r="E315" i="2" s="1"/>
  <c r="C323" i="2"/>
  <c r="C314" i="2"/>
  <c r="E314" i="2" s="1" a="1"/>
  <c r="E314" i="2" s="1"/>
  <c r="B358" i="2"/>
  <c r="H487" i="2"/>
  <c r="H358" i="2"/>
  <c r="B544" i="2"/>
  <c r="B487" i="2"/>
  <c r="H541" i="2"/>
  <c r="V191" i="4"/>
  <c r="S72" i="5"/>
  <c r="V73" i="5"/>
  <c r="V66" i="7"/>
  <c r="S65" i="7"/>
  <c r="B237" i="2"/>
  <c r="H237" i="2"/>
  <c r="H181" i="2"/>
  <c r="B181" i="2"/>
  <c r="V15" i="7"/>
  <c r="S14" i="7"/>
  <c r="S14" i="5"/>
  <c r="V15" i="5"/>
  <c r="V17" i="4"/>
  <c r="E327" i="2" l="1" a="1"/>
  <c r="E327" i="2" s="1"/>
  <c r="P36" i="1" s="1"/>
  <c r="O36" i="1"/>
  <c r="E326" i="2" a="1"/>
  <c r="E326" i="2" s="1"/>
  <c r="P35" i="1" s="1"/>
  <c r="O35" i="1"/>
  <c r="E312" i="2" a="1"/>
  <c r="E312" i="2" s="1"/>
  <c r="E323" i="2" a="1"/>
  <c r="E323" i="2" s="1"/>
  <c r="B341" i="2"/>
  <c r="B340" i="2"/>
  <c r="E320" i="2" a="1"/>
  <c r="E320" i="2" s="1"/>
  <c r="H542" i="2"/>
  <c r="H359" i="2"/>
  <c r="H488" i="2"/>
  <c r="B545" i="2"/>
  <c r="B359" i="2"/>
  <c r="B488" i="2"/>
  <c r="V192" i="4"/>
  <c r="S73" i="5"/>
  <c r="V74" i="5"/>
  <c r="V67" i="7"/>
  <c r="S66" i="7"/>
  <c r="H238" i="2"/>
  <c r="B238" i="2"/>
  <c r="B182" i="2"/>
  <c r="H182" i="2"/>
  <c r="S15" i="7"/>
  <c r="V16" i="7"/>
  <c r="S15" i="5"/>
  <c r="V16" i="5"/>
  <c r="V18" i="4"/>
  <c r="K335" i="2" l="1"/>
  <c r="K332" i="2"/>
  <c r="G493" i="2"/>
  <c r="G494" i="2"/>
  <c r="G491" i="2"/>
  <c r="G492" i="2"/>
  <c r="G480" i="2"/>
  <c r="F480" i="2" s="1"/>
  <c r="G483" i="2"/>
  <c r="F483" i="2" s="1"/>
  <c r="G482" i="2"/>
  <c r="F482" i="2" s="1"/>
  <c r="G481" i="2"/>
  <c r="F481" i="2" s="1"/>
  <c r="F471" i="2"/>
  <c r="F474" i="2"/>
  <c r="F473" i="2"/>
  <c r="F472" i="2"/>
  <c r="F475" i="2"/>
  <c r="F476" i="2"/>
  <c r="F477" i="2"/>
  <c r="F478" i="2"/>
  <c r="F479" i="2"/>
  <c r="F484" i="2"/>
  <c r="F485" i="2"/>
  <c r="F486" i="2"/>
  <c r="F528" i="2"/>
  <c r="F526" i="2"/>
  <c r="C526" i="2" s="1"/>
  <c r="F527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C339" i="2" a="1"/>
  <c r="C339" i="2" s="1"/>
  <c r="F339" i="2" a="1"/>
  <c r="F339" i="2" s="1"/>
  <c r="G339" i="2" a="1"/>
  <c r="G339" i="2" s="1"/>
  <c r="I335" i="2" s="1"/>
  <c r="D339" i="2" a="1"/>
  <c r="D339" i="2" s="1"/>
  <c r="F487" i="2"/>
  <c r="F541" i="2"/>
  <c r="B360" i="2"/>
  <c r="B489" i="2"/>
  <c r="H543" i="2"/>
  <c r="F542" i="2"/>
  <c r="B546" i="2"/>
  <c r="H360" i="2"/>
  <c r="H489" i="2"/>
  <c r="F488" i="2"/>
  <c r="V193" i="4"/>
  <c r="S74" i="5"/>
  <c r="V75" i="5"/>
  <c r="V68" i="7"/>
  <c r="S67" i="7"/>
  <c r="H239" i="2"/>
  <c r="B239" i="2"/>
  <c r="H183" i="2"/>
  <c r="B183" i="2"/>
  <c r="S16" i="7"/>
  <c r="V17" i="7"/>
  <c r="S16" i="5"/>
  <c r="V17" i="5"/>
  <c r="V19" i="4"/>
  <c r="C540" i="2" l="1"/>
  <c r="D540" i="2" s="1" a="1"/>
  <c r="D540" i="2" s="1"/>
  <c r="C476" i="2"/>
  <c r="D476" i="2" s="1" a="1"/>
  <c r="D476" i="2" s="1"/>
  <c r="C531" i="2"/>
  <c r="D531" i="2" s="1" a="1"/>
  <c r="D531" i="2" s="1"/>
  <c r="C484" i="2"/>
  <c r="C474" i="2"/>
  <c r="C475" i="2"/>
  <c r="C536" i="2"/>
  <c r="C533" i="2"/>
  <c r="D526" i="2" a="1"/>
  <c r="D526" i="2" s="1"/>
  <c r="O54" i="1" s="1"/>
  <c r="C482" i="2"/>
  <c r="C542" i="2"/>
  <c r="D542" i="2" s="1" a="1"/>
  <c r="D542" i="2" s="1"/>
  <c r="H339" i="2"/>
  <c r="I336" i="2" s="1"/>
  <c r="C538" i="2"/>
  <c r="C528" i="2"/>
  <c r="C481" i="2"/>
  <c r="C471" i="2"/>
  <c r="C534" i="2"/>
  <c r="C480" i="2"/>
  <c r="C527" i="2"/>
  <c r="C486" i="2"/>
  <c r="C479" i="2"/>
  <c r="C472" i="2"/>
  <c r="C488" i="2"/>
  <c r="C487" i="2"/>
  <c r="C541" i="2"/>
  <c r="C537" i="2"/>
  <c r="C530" i="2"/>
  <c r="C478" i="2"/>
  <c r="C473" i="2"/>
  <c r="C539" i="2"/>
  <c r="C529" i="2"/>
  <c r="C485" i="2"/>
  <c r="C477" i="2"/>
  <c r="I332" i="2"/>
  <c r="E339" i="2"/>
  <c r="I333" i="2" s="1"/>
  <c r="C532" i="2"/>
  <c r="C483" i="2"/>
  <c r="H361" i="2"/>
  <c r="B547" i="2"/>
  <c r="B361" i="2"/>
  <c r="F489" i="2"/>
  <c r="C489" i="2" s="1"/>
  <c r="H490" i="2"/>
  <c r="B490" i="2"/>
  <c r="F543" i="2"/>
  <c r="H544" i="2"/>
  <c r="V194" i="4"/>
  <c r="V76" i="5"/>
  <c r="S75" i="5"/>
  <c r="V69" i="7"/>
  <c r="S68" i="7"/>
  <c r="H240" i="2"/>
  <c r="B240" i="2"/>
  <c r="B184" i="2"/>
  <c r="H184" i="2"/>
  <c r="V18" i="7"/>
  <c r="S17" i="7"/>
  <c r="V18" i="5"/>
  <c r="S17" i="5"/>
  <c r="V20" i="4"/>
  <c r="R117" i="1" l="1"/>
  <c r="R127" i="1" s="1"/>
  <c r="O113" i="1"/>
  <c r="O123" i="1" s="1"/>
  <c r="O60" i="1"/>
  <c r="O66" i="1" s="1"/>
  <c r="O59" i="1"/>
  <c r="O65" i="1" s="1"/>
  <c r="D474" i="2" a="1"/>
  <c r="D474" i="2" s="1"/>
  <c r="O52" i="1" s="1"/>
  <c r="D536" i="2" a="1"/>
  <c r="D536" i="2" s="1"/>
  <c r="O108" i="1" s="1"/>
  <c r="D484" i="2" a="1"/>
  <c r="D484" i="2" s="1"/>
  <c r="D475" i="2" a="1"/>
  <c r="D475" i="2" s="1"/>
  <c r="D488" i="2" a="1"/>
  <c r="D488" i="2" s="1"/>
  <c r="O175" i="1" s="1"/>
  <c r="D533" i="2" a="1"/>
  <c r="D533" i="2" s="1"/>
  <c r="O105" i="1" s="1"/>
  <c r="D530" i="2" a="1"/>
  <c r="D530" i="2" s="1"/>
  <c r="D481" i="2" a="1"/>
  <c r="D481" i="2" s="1"/>
  <c r="O99" i="1" s="1"/>
  <c r="D532" i="2" a="1"/>
  <c r="D532" i="2" s="1"/>
  <c r="O104" i="1" s="1"/>
  <c r="D485" i="2" a="1"/>
  <c r="D485" i="2" s="1"/>
  <c r="D487" i="2" a="1"/>
  <c r="D487" i="2" s="1"/>
  <c r="D480" i="2" a="1"/>
  <c r="D480" i="2" s="1"/>
  <c r="O98" i="1" s="1"/>
  <c r="J335" i="2"/>
  <c r="D539" i="2" a="1"/>
  <c r="D539" i="2" s="1"/>
  <c r="D472" i="2" a="1"/>
  <c r="D472" i="2" s="1"/>
  <c r="O50" i="1" s="1"/>
  <c r="D529" i="2" a="1"/>
  <c r="D529" i="2" s="1"/>
  <c r="O57" i="1" s="1"/>
  <c r="J333" i="2"/>
  <c r="D473" i="2" a="1"/>
  <c r="D473" i="2" s="1"/>
  <c r="O51" i="1" s="1"/>
  <c r="D479" i="2" a="1"/>
  <c r="D479" i="2" s="1"/>
  <c r="O97" i="1" s="1"/>
  <c r="D534" i="2" a="1"/>
  <c r="D534" i="2" s="1"/>
  <c r="O106" i="1" s="1"/>
  <c r="J332" i="2"/>
  <c r="G351" i="2" s="1"/>
  <c r="D478" i="2" a="1"/>
  <c r="D478" i="2" s="1"/>
  <c r="O96" i="1" s="1"/>
  <c r="D486" i="2" a="1"/>
  <c r="D486" i="2" s="1"/>
  <c r="D471" i="2" a="1"/>
  <c r="D471" i="2" s="1"/>
  <c r="O49" i="1" s="1"/>
  <c r="D527" i="2" a="1"/>
  <c r="D527" i="2" s="1"/>
  <c r="O55" i="1" s="1"/>
  <c r="D482" i="2" a="1"/>
  <c r="D482" i="2" s="1"/>
  <c r="O100" i="1" s="1"/>
  <c r="D537" i="2" a="1"/>
  <c r="D537" i="2" s="1"/>
  <c r="O109" i="1" s="1"/>
  <c r="D528" i="2" a="1"/>
  <c r="D528" i="2" s="1"/>
  <c r="O56" i="1" s="1"/>
  <c r="D483" i="2" a="1"/>
  <c r="D483" i="2" s="1"/>
  <c r="O101" i="1" s="1"/>
  <c r="D477" i="2" a="1"/>
  <c r="D477" i="2" s="1"/>
  <c r="O95" i="1" s="1"/>
  <c r="D541" i="2" a="1"/>
  <c r="D541" i="2" s="1"/>
  <c r="D538" i="2" a="1"/>
  <c r="D538" i="2" s="1"/>
  <c r="O110" i="1" s="1"/>
  <c r="D489" i="2" a="1"/>
  <c r="D489" i="2" s="1"/>
  <c r="O176" i="1" s="1"/>
  <c r="H545" i="2"/>
  <c r="F544" i="2"/>
  <c r="C544" i="2" s="1"/>
  <c r="H362" i="2"/>
  <c r="H491" i="2"/>
  <c r="F490" i="2"/>
  <c r="C490" i="2" s="1"/>
  <c r="B491" i="2"/>
  <c r="B548" i="2"/>
  <c r="C543" i="2"/>
  <c r="B362" i="2"/>
  <c r="V195" i="4"/>
  <c r="V77" i="5"/>
  <c r="S76" i="5"/>
  <c r="S69" i="7"/>
  <c r="V70" i="7"/>
  <c r="H241" i="2"/>
  <c r="B241" i="2"/>
  <c r="H185" i="2"/>
  <c r="B185" i="2"/>
  <c r="S18" i="7"/>
  <c r="V19" i="7"/>
  <c r="S18" i="5"/>
  <c r="V19" i="5"/>
  <c r="V21" i="4"/>
  <c r="O115" i="1" l="1"/>
  <c r="O125" i="1" s="1"/>
  <c r="R120" i="1"/>
  <c r="R130" i="1" s="1"/>
  <c r="R62" i="1"/>
  <c r="R68" i="1" s="1"/>
  <c r="O114" i="1"/>
  <c r="O124" i="1" s="1"/>
  <c r="R119" i="1"/>
  <c r="R129" i="1" s="1"/>
  <c r="R118" i="1"/>
  <c r="R128" i="1" s="1"/>
  <c r="O116" i="1"/>
  <c r="O126" i="1" s="1"/>
  <c r="R61" i="1"/>
  <c r="R67" i="1" s="1"/>
  <c r="G350" i="2"/>
  <c r="F350" i="2" s="1"/>
  <c r="G349" i="2"/>
  <c r="F349" i="2" s="1"/>
  <c r="I334" i="2"/>
  <c r="I337" i="2"/>
  <c r="G347" i="2" s="1"/>
  <c r="F347" i="2" s="1"/>
  <c r="J336" i="2"/>
  <c r="C346" i="2"/>
  <c r="E346" i="2" s="1" a="1"/>
  <c r="E346" i="2" s="1"/>
  <c r="C344" i="2"/>
  <c r="E344" i="2" s="1" a="1"/>
  <c r="E344" i="2" s="1"/>
  <c r="C345" i="2"/>
  <c r="E345" i="2" s="1" a="1"/>
  <c r="E345" i="2" s="1"/>
  <c r="D490" i="2" a="1"/>
  <c r="D490" i="2" s="1"/>
  <c r="O177" i="1" s="1"/>
  <c r="D544" i="2" a="1"/>
  <c r="D544" i="2" s="1"/>
  <c r="O190" i="1" s="1"/>
  <c r="H363" i="2"/>
  <c r="B363" i="2"/>
  <c r="B549" i="2"/>
  <c r="F545" i="2"/>
  <c r="H546" i="2"/>
  <c r="D543" i="2" a="1"/>
  <c r="D543" i="2" s="1"/>
  <c r="O189" i="1" s="1"/>
  <c r="F491" i="2"/>
  <c r="C491" i="2" s="1"/>
  <c r="H492" i="2"/>
  <c r="B492" i="2"/>
  <c r="V196" i="4"/>
  <c r="V78" i="5"/>
  <c r="S77" i="5"/>
  <c r="S70" i="7"/>
  <c r="V71" i="7"/>
  <c r="H242" i="2"/>
  <c r="B242" i="2"/>
  <c r="B186" i="2"/>
  <c r="H186" i="2"/>
  <c r="S19" i="7"/>
  <c r="V20" i="7"/>
  <c r="S19" i="5"/>
  <c r="V20" i="5"/>
  <c r="V22" i="4"/>
  <c r="G362" i="2" l="1"/>
  <c r="F362" i="2" s="1"/>
  <c r="G353" i="2"/>
  <c r="F353" i="2" s="1"/>
  <c r="G359" i="2"/>
  <c r="F359" i="2" s="1"/>
  <c r="F351" i="2"/>
  <c r="G348" i="2"/>
  <c r="F348" i="2" s="1"/>
  <c r="G346" i="2"/>
  <c r="F346" i="2" s="1"/>
  <c r="G344" i="2"/>
  <c r="F344" i="2" s="1"/>
  <c r="C347" i="2" s="1"/>
  <c r="G352" i="2"/>
  <c r="F352" i="2" s="1"/>
  <c r="G345" i="2"/>
  <c r="F345" i="2" s="1"/>
  <c r="D344" i="2" a="1"/>
  <c r="D344" i="2" s="1"/>
  <c r="O37" i="1" s="1"/>
  <c r="P37" i="1"/>
  <c r="P38" i="1"/>
  <c r="D345" i="2" a="1"/>
  <c r="D345" i="2" s="1"/>
  <c r="O38" i="1" s="1"/>
  <c r="D346" i="2" a="1"/>
  <c r="D346" i="2" s="1"/>
  <c r="O39" i="1" s="1"/>
  <c r="G361" i="2"/>
  <c r="F361" i="2" s="1"/>
  <c r="G355" i="2"/>
  <c r="F355" i="2" s="1"/>
  <c r="G354" i="2"/>
  <c r="F354" i="2" s="1"/>
  <c r="G356" i="2"/>
  <c r="F356" i="2" s="1"/>
  <c r="G360" i="2"/>
  <c r="F360" i="2" s="1"/>
  <c r="G357" i="2"/>
  <c r="F357" i="2" s="1"/>
  <c r="G358" i="2"/>
  <c r="F358" i="2" s="1"/>
  <c r="B550" i="2"/>
  <c r="D491" i="2" a="1"/>
  <c r="D491" i="2" s="1"/>
  <c r="O178" i="1" s="1"/>
  <c r="H547" i="2"/>
  <c r="F546" i="2"/>
  <c r="C546" i="2" s="1"/>
  <c r="G363" i="2"/>
  <c r="F363" i="2" s="1"/>
  <c r="H364" i="2"/>
  <c r="B493" i="2"/>
  <c r="C545" i="2"/>
  <c r="H493" i="2"/>
  <c r="F492" i="2"/>
  <c r="C492" i="2" s="1"/>
  <c r="B364" i="2"/>
  <c r="V197" i="4"/>
  <c r="V79" i="5"/>
  <c r="S78" i="5"/>
  <c r="S71" i="7"/>
  <c r="V72" i="7"/>
  <c r="H243" i="2"/>
  <c r="B243" i="2"/>
  <c r="B187" i="2"/>
  <c r="H187" i="2"/>
  <c r="V21" i="7"/>
  <c r="S20" i="7"/>
  <c r="S20" i="5"/>
  <c r="V21" i="5"/>
  <c r="V23" i="4"/>
  <c r="D347" i="2" l="1" a="1"/>
  <c r="D347" i="2" s="1"/>
  <c r="O40" i="1" s="1"/>
  <c r="C348" i="2"/>
  <c r="D348" i="2" s="1" a="1"/>
  <c r="D348" i="2" s="1"/>
  <c r="O41" i="1" s="1"/>
  <c r="C351" i="2"/>
  <c r="D351" i="2" s="1" a="1"/>
  <c r="D351" i="2" s="1"/>
  <c r="O44" i="1" s="1"/>
  <c r="C349" i="2"/>
  <c r="D349" i="2" s="1" a="1"/>
  <c r="D349" i="2" s="1"/>
  <c r="O42" i="1" s="1"/>
  <c r="C350" i="2"/>
  <c r="D350" i="2" s="1" a="1"/>
  <c r="D350" i="2" s="1"/>
  <c r="O43" i="1" s="1"/>
  <c r="C363" i="2"/>
  <c r="D363" i="2" s="1" a="1"/>
  <c r="D363" i="2" s="1"/>
  <c r="O72" i="1" s="1"/>
  <c r="C361" i="2"/>
  <c r="D361" i="2" s="1" a="1"/>
  <c r="D361" i="2" s="1"/>
  <c r="O70" i="1" s="1"/>
  <c r="C360" i="2"/>
  <c r="D360" i="2" s="1" a="1"/>
  <c r="D360" i="2" s="1"/>
  <c r="O69" i="1" s="1"/>
  <c r="C362" i="2"/>
  <c r="C357" i="2"/>
  <c r="C356" i="2"/>
  <c r="C354" i="2"/>
  <c r="C358" i="2"/>
  <c r="C353" i="2"/>
  <c r="C355" i="2"/>
  <c r="C359" i="2"/>
  <c r="C352" i="2"/>
  <c r="B551" i="2"/>
  <c r="B365" i="2"/>
  <c r="D492" i="2" a="1"/>
  <c r="D492" i="2" s="1"/>
  <c r="O179" i="1" s="1"/>
  <c r="F547" i="2"/>
  <c r="C547" i="2" s="1"/>
  <c r="H548" i="2"/>
  <c r="D546" i="2" a="1"/>
  <c r="D546" i="2" s="1"/>
  <c r="O192" i="1" s="1"/>
  <c r="B494" i="2"/>
  <c r="F493" i="2"/>
  <c r="H494" i="2"/>
  <c r="D545" i="2" a="1"/>
  <c r="D545" i="2" s="1"/>
  <c r="O191" i="1" s="1"/>
  <c r="H365" i="2"/>
  <c r="G364" i="2"/>
  <c r="F364" i="2" s="1"/>
  <c r="C364" i="2" s="1"/>
  <c r="V198" i="4"/>
  <c r="V80" i="5"/>
  <c r="S79" i="5"/>
  <c r="V73" i="7"/>
  <c r="S72" i="7"/>
  <c r="B244" i="2"/>
  <c r="H244" i="2"/>
  <c r="H188" i="2"/>
  <c r="B188" i="2"/>
  <c r="S21" i="7"/>
  <c r="V22" i="7"/>
  <c r="S21" i="5"/>
  <c r="V22" i="5"/>
  <c r="V24" i="4"/>
  <c r="D359" i="2" l="1" a="1"/>
  <c r="D359" i="2" s="1"/>
  <c r="D355" i="2" a="1"/>
  <c r="D355" i="2" s="1"/>
  <c r="O48" i="1" s="1"/>
  <c r="D353" i="2" a="1"/>
  <c r="D353" i="2" s="1"/>
  <c r="O46" i="1" s="1"/>
  <c r="D358" i="2" a="1"/>
  <c r="D358" i="2" s="1"/>
  <c r="D354" i="2" a="1"/>
  <c r="D354" i="2" s="1"/>
  <c r="O47" i="1" s="1"/>
  <c r="D356" i="2" a="1"/>
  <c r="D356" i="2" s="1"/>
  <c r="D357" i="2" a="1"/>
  <c r="D357" i="2" s="1"/>
  <c r="D352" i="2" a="1"/>
  <c r="D352" i="2" s="1"/>
  <c r="O45" i="1" s="1"/>
  <c r="D362" i="2" a="1"/>
  <c r="D362" i="2" s="1"/>
  <c r="O71" i="1" s="1"/>
  <c r="D547" i="2" a="1"/>
  <c r="D547" i="2" s="1"/>
  <c r="O193" i="1" s="1"/>
  <c r="H366" i="2"/>
  <c r="G365" i="2"/>
  <c r="F365" i="2" s="1"/>
  <c r="B366" i="2"/>
  <c r="C365" i="2"/>
  <c r="D364" i="2" a="1"/>
  <c r="D364" i="2" s="1"/>
  <c r="O73" i="1" s="1"/>
  <c r="B552" i="2"/>
  <c r="B495" i="2"/>
  <c r="H495" i="2"/>
  <c r="F494" i="2"/>
  <c r="H549" i="2"/>
  <c r="F548" i="2"/>
  <c r="C548" i="2" s="1"/>
  <c r="V199" i="4"/>
  <c r="V81" i="5"/>
  <c r="S80" i="5"/>
  <c r="V74" i="7"/>
  <c r="S73" i="7"/>
  <c r="H245" i="2"/>
  <c r="B245" i="2"/>
  <c r="B189" i="2"/>
  <c r="H189" i="2"/>
  <c r="V23" i="7"/>
  <c r="S22" i="7"/>
  <c r="S22" i="5"/>
  <c r="V23" i="5"/>
  <c r="V25" i="4"/>
  <c r="R60" i="1" l="1"/>
  <c r="R66" i="1" s="1"/>
  <c r="R59" i="1"/>
  <c r="R65" i="1" s="1"/>
  <c r="O61" i="1"/>
  <c r="O67" i="1" s="1"/>
  <c r="O62" i="1"/>
  <c r="O68" i="1" s="1"/>
  <c r="F495" i="2"/>
  <c r="C495" i="2" s="1"/>
  <c r="H496" i="2"/>
  <c r="B553" i="2"/>
  <c r="G366" i="2"/>
  <c r="F366" i="2" s="1"/>
  <c r="C366" i="2" s="1"/>
  <c r="H367" i="2"/>
  <c r="D365" i="2" a="1"/>
  <c r="D365" i="2" s="1"/>
  <c r="O74" i="1" s="1"/>
  <c r="F549" i="2"/>
  <c r="H550" i="2"/>
  <c r="B367" i="2"/>
  <c r="B496" i="2"/>
  <c r="D548" i="2" a="1"/>
  <c r="D548" i="2" s="1"/>
  <c r="O194" i="1" s="1"/>
  <c r="V200" i="4"/>
  <c r="S81" i="5"/>
  <c r="V82" i="5"/>
  <c r="V75" i="7"/>
  <c r="S74" i="7"/>
  <c r="B246" i="2"/>
  <c r="H246" i="2"/>
  <c r="H190" i="2"/>
  <c r="B190" i="2"/>
  <c r="S23" i="7"/>
  <c r="V24" i="7"/>
  <c r="S23" i="5"/>
  <c r="V24" i="5"/>
  <c r="V26" i="4"/>
  <c r="C493" i="2" l="1"/>
  <c r="D493" i="2" s="1" a="1"/>
  <c r="D493" i="2" s="1"/>
  <c r="O180" i="1" s="1"/>
  <c r="C494" i="2"/>
  <c r="D494" i="2" s="1" a="1"/>
  <c r="D494" i="2" s="1"/>
  <c r="O181" i="1" s="1"/>
  <c r="H551" i="2"/>
  <c r="F550" i="2"/>
  <c r="C550" i="2" s="1"/>
  <c r="C549" i="2"/>
  <c r="H497" i="2"/>
  <c r="F496" i="2"/>
  <c r="C496" i="2" s="1"/>
  <c r="B554" i="2"/>
  <c r="D495" i="2" a="1"/>
  <c r="D495" i="2" s="1"/>
  <c r="O182" i="1" s="1"/>
  <c r="B497" i="2"/>
  <c r="H368" i="2"/>
  <c r="G367" i="2"/>
  <c r="F367" i="2" s="1"/>
  <c r="C367" i="2" s="1"/>
  <c r="D366" i="2" a="1"/>
  <c r="D366" i="2" s="1"/>
  <c r="O75" i="1" s="1"/>
  <c r="B368" i="2"/>
  <c r="V201" i="4"/>
  <c r="S82" i="5"/>
  <c r="V83" i="5"/>
  <c r="V76" i="7"/>
  <c r="S75" i="7"/>
  <c r="H247" i="2"/>
  <c r="B247" i="2"/>
  <c r="B191" i="2"/>
  <c r="H191" i="2"/>
  <c r="S24" i="7"/>
  <c r="V25" i="7"/>
  <c r="V25" i="5"/>
  <c r="S24" i="5"/>
  <c r="V27" i="4"/>
  <c r="D550" i="2" l="1" a="1"/>
  <c r="D550" i="2" s="1"/>
  <c r="O196" i="1" s="1"/>
  <c r="D367" i="2" a="1"/>
  <c r="D367" i="2" s="1"/>
  <c r="O76" i="1" s="1"/>
  <c r="H369" i="2"/>
  <c r="G368" i="2"/>
  <c r="F368" i="2" s="1"/>
  <c r="C368" i="2" s="1"/>
  <c r="B369" i="2"/>
  <c r="H498" i="2"/>
  <c r="F497" i="2"/>
  <c r="C497" i="2" s="1"/>
  <c r="B555" i="2"/>
  <c r="F551" i="2"/>
  <c r="H552" i="2"/>
  <c r="B498" i="2"/>
  <c r="D549" i="2" a="1"/>
  <c r="D549" i="2" s="1"/>
  <c r="O195" i="1" s="1"/>
  <c r="V202" i="4"/>
  <c r="V84" i="5"/>
  <c r="S83" i="5"/>
  <c r="V77" i="7"/>
  <c r="S76" i="7"/>
  <c r="B248" i="2"/>
  <c r="H248" i="2"/>
  <c r="B192" i="2"/>
  <c r="H192" i="2"/>
  <c r="V26" i="7"/>
  <c r="S25" i="7"/>
  <c r="V26" i="5"/>
  <c r="S25" i="5"/>
  <c r="V28" i="4"/>
  <c r="B499" i="2" l="1"/>
  <c r="D368" i="2" a="1"/>
  <c r="D368" i="2" s="1"/>
  <c r="O77" i="1" s="1"/>
  <c r="H553" i="2"/>
  <c r="F552" i="2"/>
  <c r="C552" i="2" s="1"/>
  <c r="C369" i="2"/>
  <c r="B370" i="2"/>
  <c r="H370" i="2"/>
  <c r="G369" i="2"/>
  <c r="F369" i="2" s="1"/>
  <c r="H499" i="2"/>
  <c r="F498" i="2"/>
  <c r="C498" i="2" s="1"/>
  <c r="C551" i="2"/>
  <c r="B556" i="2"/>
  <c r="V203" i="4"/>
  <c r="V85" i="5"/>
  <c r="S84" i="5"/>
  <c r="V78" i="7"/>
  <c r="S77" i="7"/>
  <c r="H249" i="2"/>
  <c r="B249" i="2"/>
  <c r="H193" i="2"/>
  <c r="B193" i="2"/>
  <c r="S26" i="7"/>
  <c r="V27" i="7"/>
  <c r="S26" i="5"/>
  <c r="V27" i="5"/>
  <c r="V29" i="4"/>
  <c r="D552" i="2" l="1" a="1"/>
  <c r="D552" i="2" s="1"/>
  <c r="O198" i="1" s="1"/>
  <c r="H371" i="2"/>
  <c r="G370" i="2"/>
  <c r="F370" i="2" s="1"/>
  <c r="C370" i="2" s="1"/>
  <c r="B500" i="2"/>
  <c r="B557" i="2"/>
  <c r="D551" i="2" a="1"/>
  <c r="D551" i="2" s="1"/>
  <c r="O197" i="1" s="1"/>
  <c r="B371" i="2"/>
  <c r="D369" i="2" a="1"/>
  <c r="D369" i="2" s="1"/>
  <c r="O78" i="1" s="1"/>
  <c r="F553" i="2"/>
  <c r="H554" i="2"/>
  <c r="H500" i="2"/>
  <c r="F499" i="2"/>
  <c r="C499" i="2" s="1"/>
  <c r="V204" i="4"/>
  <c r="V86" i="5"/>
  <c r="S85" i="5"/>
  <c r="S78" i="7"/>
  <c r="V79" i="7"/>
  <c r="B250" i="2"/>
  <c r="H250" i="2"/>
  <c r="B194" i="2"/>
  <c r="H194" i="2"/>
  <c r="S27" i="7"/>
  <c r="V28" i="7"/>
  <c r="S27" i="5"/>
  <c r="V28" i="5"/>
  <c r="V30" i="4"/>
  <c r="D370" i="2" l="1" a="1"/>
  <c r="D370" i="2" s="1"/>
  <c r="O79" i="1" s="1"/>
  <c r="B372" i="2"/>
  <c r="H555" i="2"/>
  <c r="F554" i="2"/>
  <c r="C553" i="2"/>
  <c r="H501" i="2"/>
  <c r="F500" i="2"/>
  <c r="C500" i="2" s="1"/>
  <c r="H372" i="2"/>
  <c r="G371" i="2"/>
  <c r="F371" i="2" s="1"/>
  <c r="C371" i="2" s="1"/>
  <c r="B558" i="2"/>
  <c r="B501" i="2"/>
  <c r="V205" i="4"/>
  <c r="V87" i="5"/>
  <c r="S86" i="5"/>
  <c r="S79" i="7"/>
  <c r="V80" i="7"/>
  <c r="H251" i="2"/>
  <c r="B251" i="2"/>
  <c r="H195" i="2"/>
  <c r="B195" i="2"/>
  <c r="V29" i="7"/>
  <c r="S28" i="7"/>
  <c r="S28" i="5"/>
  <c r="V29" i="5"/>
  <c r="V31" i="4"/>
  <c r="G372" i="2" l="1"/>
  <c r="F372" i="2" s="1"/>
  <c r="H373" i="2"/>
  <c r="B502" i="2"/>
  <c r="H502" i="2"/>
  <c r="F501" i="2"/>
  <c r="C501" i="2" s="1"/>
  <c r="D371" i="2" a="1"/>
  <c r="D371" i="2" s="1"/>
  <c r="O80" i="1" s="1"/>
  <c r="B373" i="2"/>
  <c r="B559" i="2"/>
  <c r="F555" i="2"/>
  <c r="H556" i="2"/>
  <c r="D553" i="2" a="1"/>
  <c r="D553" i="2" s="1"/>
  <c r="O199" i="1" s="1"/>
  <c r="V206" i="4"/>
  <c r="V88" i="5"/>
  <c r="S87" i="5"/>
  <c r="V81" i="7"/>
  <c r="S80" i="7"/>
  <c r="B252" i="2"/>
  <c r="H252" i="2"/>
  <c r="B196" i="2"/>
  <c r="H196" i="2"/>
  <c r="S29" i="7"/>
  <c r="V30" i="7"/>
  <c r="S29" i="5"/>
  <c r="V30" i="5"/>
  <c r="V32" i="4"/>
  <c r="B503" i="2" l="1"/>
  <c r="B374" i="2"/>
  <c r="H374" i="2"/>
  <c r="G373" i="2"/>
  <c r="F373" i="2" s="1"/>
  <c r="H557" i="2"/>
  <c r="F556" i="2"/>
  <c r="H503" i="2"/>
  <c r="F502" i="2"/>
  <c r="C502" i="2" s="1"/>
  <c r="B560" i="2"/>
  <c r="C559" i="2"/>
  <c r="V207" i="4"/>
  <c r="S88" i="5"/>
  <c r="V89" i="5"/>
  <c r="V82" i="7"/>
  <c r="S81" i="7"/>
  <c r="H253" i="2"/>
  <c r="B253" i="2"/>
  <c r="H197" i="2"/>
  <c r="B197" i="2"/>
  <c r="V31" i="7"/>
  <c r="S30" i="7"/>
  <c r="V31" i="5"/>
  <c r="S30" i="5"/>
  <c r="V33" i="4"/>
  <c r="B504" i="2" l="1"/>
  <c r="B375" i="2"/>
  <c r="H504" i="2"/>
  <c r="F503" i="2"/>
  <c r="C503" i="2" s="1"/>
  <c r="F557" i="2"/>
  <c r="H558" i="2"/>
  <c r="G374" i="2"/>
  <c r="F374" i="2" s="1"/>
  <c r="H375" i="2"/>
  <c r="C560" i="2"/>
  <c r="B561" i="2"/>
  <c r="D559" i="2" a="1"/>
  <c r="D559" i="2" s="1"/>
  <c r="V208" i="4"/>
  <c r="S89" i="5"/>
  <c r="V90" i="5"/>
  <c r="V83" i="7"/>
  <c r="S82" i="7"/>
  <c r="B254" i="2"/>
  <c r="H254" i="2"/>
  <c r="B198" i="2"/>
  <c r="H198" i="2"/>
  <c r="S31" i="7"/>
  <c r="V32" i="7"/>
  <c r="S31" i="5"/>
  <c r="V32" i="5"/>
  <c r="V34" i="4"/>
  <c r="O208" i="1" l="1"/>
  <c r="O226" i="1" s="1"/>
  <c r="C372" i="2"/>
  <c r="H559" i="2"/>
  <c r="F558" i="2"/>
  <c r="B505" i="2"/>
  <c r="B376" i="2"/>
  <c r="H505" i="2"/>
  <c r="F504" i="2"/>
  <c r="C504" i="2" s="1"/>
  <c r="D560" i="2" a="1"/>
  <c r="D560" i="2" s="1"/>
  <c r="G375" i="2"/>
  <c r="F375" i="2" s="1"/>
  <c r="H376" i="2"/>
  <c r="B562" i="2"/>
  <c r="C561" i="2"/>
  <c r="V209" i="4"/>
  <c r="S90" i="5"/>
  <c r="V91" i="5"/>
  <c r="V84" i="7"/>
  <c r="S83" i="7"/>
  <c r="H255" i="2"/>
  <c r="B255" i="2"/>
  <c r="H199" i="2"/>
  <c r="B199" i="2"/>
  <c r="S32" i="7"/>
  <c r="V33" i="7"/>
  <c r="S32" i="5"/>
  <c r="V33" i="5"/>
  <c r="V35" i="4"/>
  <c r="O205" i="1" l="1"/>
  <c r="O223" i="1" s="1"/>
  <c r="C373" i="2"/>
  <c r="D372" i="2" a="1"/>
  <c r="D372" i="2" s="1"/>
  <c r="O81" i="1" s="1"/>
  <c r="B377" i="2"/>
  <c r="F559" i="2"/>
  <c r="H560" i="2"/>
  <c r="G376" i="2"/>
  <c r="F376" i="2" s="1"/>
  <c r="H377" i="2"/>
  <c r="B506" i="2"/>
  <c r="D561" i="2" a="1"/>
  <c r="D561" i="2" s="1"/>
  <c r="C562" i="2"/>
  <c r="B563" i="2"/>
  <c r="H506" i="2"/>
  <c r="F505" i="2"/>
  <c r="C505" i="2" s="1"/>
  <c r="V210" i="4"/>
  <c r="V92" i="5"/>
  <c r="S91" i="5"/>
  <c r="V85" i="7"/>
  <c r="S84" i="7"/>
  <c r="B256" i="2"/>
  <c r="H256" i="2"/>
  <c r="H200" i="2"/>
  <c r="B200" i="2"/>
  <c r="V34" i="7"/>
  <c r="S33" i="7"/>
  <c r="V34" i="5"/>
  <c r="S33" i="5"/>
  <c r="V36" i="4"/>
  <c r="O204" i="1" l="1"/>
  <c r="O222" i="1" s="1"/>
  <c r="C374" i="2"/>
  <c r="D373" i="2" a="1"/>
  <c r="D373" i="2" s="1"/>
  <c r="O82" i="1" s="1"/>
  <c r="D562" i="2" a="1"/>
  <c r="D562" i="2" s="1"/>
  <c r="O255" i="1" s="1"/>
  <c r="H561" i="2"/>
  <c r="F560" i="2"/>
  <c r="H507" i="2"/>
  <c r="F506" i="2"/>
  <c r="C506" i="2" s="1"/>
  <c r="B507" i="2"/>
  <c r="B378" i="2"/>
  <c r="C563" i="2"/>
  <c r="B564" i="2"/>
  <c r="H378" i="2"/>
  <c r="G377" i="2"/>
  <c r="F377" i="2" s="1"/>
  <c r="V211" i="4"/>
  <c r="V93" i="5"/>
  <c r="S92" i="5"/>
  <c r="V86" i="7"/>
  <c r="S85" i="7"/>
  <c r="H257" i="2"/>
  <c r="B257" i="2"/>
  <c r="B201" i="2"/>
  <c r="H201" i="2"/>
  <c r="S34" i="7"/>
  <c r="V35" i="7"/>
  <c r="S34" i="5"/>
  <c r="V35" i="5"/>
  <c r="V37" i="4"/>
  <c r="C564" i="2" l="1"/>
  <c r="D374" i="2" a="1"/>
  <c r="D374" i="2" s="1"/>
  <c r="O83" i="1" s="1"/>
  <c r="C375" i="2"/>
  <c r="F561" i="2"/>
  <c r="H562" i="2"/>
  <c r="D563" i="2" a="1"/>
  <c r="D563" i="2" s="1"/>
  <c r="O256" i="1" s="1"/>
  <c r="B508" i="2"/>
  <c r="B379" i="2"/>
  <c r="G378" i="2"/>
  <c r="F378" i="2" s="1"/>
  <c r="H379" i="2"/>
  <c r="H508" i="2"/>
  <c r="F507" i="2"/>
  <c r="C507" i="2" s="1"/>
  <c r="V212" i="4"/>
  <c r="V94" i="5"/>
  <c r="S93" i="5"/>
  <c r="S86" i="7"/>
  <c r="V87" i="7"/>
  <c r="B258" i="2"/>
  <c r="H258" i="2"/>
  <c r="H202" i="2"/>
  <c r="B202" i="2"/>
  <c r="S35" i="7"/>
  <c r="V36" i="7"/>
  <c r="S35" i="5"/>
  <c r="V36" i="5"/>
  <c r="V38" i="4"/>
  <c r="D564" i="2" l="1" a="1"/>
  <c r="D564" i="2" s="1"/>
  <c r="O257" i="1" s="1"/>
  <c r="D375" i="2" a="1"/>
  <c r="D375" i="2" s="1"/>
  <c r="O84" i="1" s="1"/>
  <c r="C376" i="2"/>
  <c r="H509" i="2"/>
  <c r="F508" i="2"/>
  <c r="C508" i="2" s="1"/>
  <c r="B380" i="2"/>
  <c r="B509" i="2"/>
  <c r="F562" i="2"/>
  <c r="H563" i="2"/>
  <c r="H380" i="2"/>
  <c r="G379" i="2"/>
  <c r="F379" i="2" s="1"/>
  <c r="C377" i="2" s="1"/>
  <c r="V213" i="4"/>
  <c r="V95" i="5"/>
  <c r="S94" i="5"/>
  <c r="S87" i="7"/>
  <c r="V88" i="7"/>
  <c r="H259" i="2"/>
  <c r="H260" i="2" s="1"/>
  <c r="H261" i="2" s="1"/>
  <c r="H262" i="2" s="1"/>
  <c r="H263" i="2" s="1"/>
  <c r="H264" i="2" s="1"/>
  <c r="H265" i="2" s="1"/>
  <c r="H266" i="2" s="1"/>
  <c r="B259" i="2"/>
  <c r="B203" i="2"/>
  <c r="H203" i="2"/>
  <c r="V37" i="7"/>
  <c r="S36" i="7"/>
  <c r="S36" i="5"/>
  <c r="V37" i="5"/>
  <c r="V39" i="4"/>
  <c r="D377" i="2" l="1" a="1"/>
  <c r="D377" i="2" s="1"/>
  <c r="O86" i="1" s="1"/>
  <c r="D376" i="2" a="1"/>
  <c r="D376" i="2" s="1"/>
  <c r="O85" i="1" s="1"/>
  <c r="H510" i="2"/>
  <c r="F509" i="2"/>
  <c r="C509" i="2" s="1"/>
  <c r="B381" i="2"/>
  <c r="F563" i="2"/>
  <c r="H564" i="2"/>
  <c r="B510" i="2"/>
  <c r="H381" i="2"/>
  <c r="G380" i="2"/>
  <c r="F380" i="2" s="1"/>
  <c r="V214" i="4"/>
  <c r="V96" i="5"/>
  <c r="S95" i="5"/>
  <c r="V89" i="7"/>
  <c r="S88" i="7"/>
  <c r="B260" i="2"/>
  <c r="H267" i="2"/>
  <c r="H268" i="2" s="1"/>
  <c r="H269" i="2" s="1"/>
  <c r="H204" i="2"/>
  <c r="B204" i="2"/>
  <c r="S37" i="7"/>
  <c r="V38" i="7"/>
  <c r="S37" i="5"/>
  <c r="V38" i="5"/>
  <c r="V40" i="4"/>
  <c r="D34" i="2"/>
  <c r="D33" i="2"/>
  <c r="D32" i="2"/>
  <c r="D31" i="2"/>
  <c r="D30" i="2"/>
  <c r="D29" i="2"/>
  <c r="D28" i="2"/>
  <c r="L132" i="2"/>
  <c r="K132" i="2"/>
  <c r="L131" i="2"/>
  <c r="L139" i="2" s="1"/>
  <c r="K131" i="2"/>
  <c r="L130" i="2"/>
  <c r="L138" i="2" s="1"/>
  <c r="K130" i="2"/>
  <c r="L129" i="2"/>
  <c r="L137" i="2" s="1"/>
  <c r="K129" i="2"/>
  <c r="L128" i="2"/>
  <c r="L136" i="2" s="1"/>
  <c r="K128" i="2"/>
  <c r="L127" i="2"/>
  <c r="L135" i="2" s="1"/>
  <c r="K127" i="2"/>
  <c r="L126" i="2"/>
  <c r="L134" i="2" s="1"/>
  <c r="K126" i="2"/>
  <c r="L125" i="2"/>
  <c r="L133" i="2" s="1"/>
  <c r="K125" i="2"/>
  <c r="I51" i="2"/>
  <c r="I50" i="2"/>
  <c r="I49" i="2"/>
  <c r="I48" i="2"/>
  <c r="I47" i="2"/>
  <c r="I46" i="2"/>
  <c r="I45" i="2"/>
  <c r="I44" i="2"/>
  <c r="I43" i="2"/>
  <c r="I42" i="2"/>
  <c r="I41" i="2"/>
  <c r="I52" i="2"/>
  <c r="I54" i="2"/>
  <c r="I53" i="2"/>
  <c r="L84" i="2"/>
  <c r="L88" i="2" s="1"/>
  <c r="L92" i="2" s="1"/>
  <c r="L96" i="2" s="1"/>
  <c r="L100" i="2" s="1"/>
  <c r="L104" i="2" s="1"/>
  <c r="L108" i="2" s="1"/>
  <c r="L112" i="2" s="1"/>
  <c r="L116" i="2" s="1"/>
  <c r="K84" i="2"/>
  <c r="L83" i="2"/>
  <c r="L87" i="2" s="1"/>
  <c r="L91" i="2" s="1"/>
  <c r="L95" i="2" s="1"/>
  <c r="L99" i="2" s="1"/>
  <c r="L103" i="2" s="1"/>
  <c r="L107" i="2" s="1"/>
  <c r="L111" i="2" s="1"/>
  <c r="L115" i="2" s="1"/>
  <c r="K83" i="2"/>
  <c r="K82" i="2"/>
  <c r="K86" i="2" s="1"/>
  <c r="K90" i="2" s="1"/>
  <c r="K94" i="2" s="1"/>
  <c r="K98" i="2" s="1"/>
  <c r="K102" i="2" s="1"/>
  <c r="K106" i="2" s="1"/>
  <c r="K110" i="2" s="1"/>
  <c r="K114" i="2" s="1"/>
  <c r="K81" i="2"/>
  <c r="K85" i="2" s="1"/>
  <c r="K89" i="2" s="1"/>
  <c r="K93" i="2" s="1"/>
  <c r="K97" i="2" s="1"/>
  <c r="K101" i="2" s="1"/>
  <c r="K105" i="2" s="1"/>
  <c r="K109" i="2" s="1"/>
  <c r="K113" i="2" s="1"/>
  <c r="L56" i="2"/>
  <c r="L58" i="2" s="1"/>
  <c r="L60" i="2" s="1"/>
  <c r="L62" i="2" s="1"/>
  <c r="K56" i="2"/>
  <c r="K58" i="2" s="1"/>
  <c r="K60" i="2" s="1"/>
  <c r="K62" i="2" s="1"/>
  <c r="K64" i="2" s="1"/>
  <c r="K66" i="2" s="1"/>
  <c r="K68" i="2" s="1"/>
  <c r="K70" i="2" s="1"/>
  <c r="K72" i="2" s="1"/>
  <c r="K74" i="2" s="1"/>
  <c r="K76" i="2" s="1"/>
  <c r="L55" i="2"/>
  <c r="L57" i="2" s="1"/>
  <c r="L59" i="2" s="1"/>
  <c r="K55" i="2"/>
  <c r="K57" i="2" s="1"/>
  <c r="H42" i="2"/>
  <c r="B42" i="2"/>
  <c r="C378" i="2" l="1"/>
  <c r="F510" i="2"/>
  <c r="C510" i="2" s="1"/>
  <c r="H511" i="2"/>
  <c r="F564" i="2"/>
  <c r="C535" i="2"/>
  <c r="C554" i="2"/>
  <c r="C556" i="2"/>
  <c r="C555" i="2"/>
  <c r="B382" i="2"/>
  <c r="B511" i="2"/>
  <c r="G381" i="2"/>
  <c r="F381" i="2" s="1"/>
  <c r="C379" i="2" s="1"/>
  <c r="H382" i="2"/>
  <c r="V215" i="4"/>
  <c r="V97" i="5"/>
  <c r="S96" i="5"/>
  <c r="V90" i="7"/>
  <c r="S90" i="7" s="1"/>
  <c r="S89" i="7"/>
  <c r="B261" i="2"/>
  <c r="B205" i="2"/>
  <c r="H205" i="2"/>
  <c r="V39" i="7"/>
  <c r="S38" i="7"/>
  <c r="V39" i="5"/>
  <c r="S38" i="5"/>
  <c r="V41" i="4"/>
  <c r="B43" i="2"/>
  <c r="K87" i="2"/>
  <c r="I83" i="2"/>
  <c r="K136" i="2"/>
  <c r="I128" i="2"/>
  <c r="I132" i="2"/>
  <c r="K135" i="2"/>
  <c r="I127" i="2"/>
  <c r="H43" i="2"/>
  <c r="K88" i="2"/>
  <c r="I84" i="2"/>
  <c r="K133" i="2"/>
  <c r="I133" i="2" s="1"/>
  <c r="I125" i="2"/>
  <c r="K137" i="2"/>
  <c r="I129" i="2"/>
  <c r="K134" i="2"/>
  <c r="I126" i="2"/>
  <c r="K138" i="2"/>
  <c r="I130" i="2"/>
  <c r="K139" i="2"/>
  <c r="I131" i="2"/>
  <c r="I55" i="2"/>
  <c r="I56" i="2"/>
  <c r="K59" i="2"/>
  <c r="I57" i="2"/>
  <c r="L64" i="2"/>
  <c r="I62" i="2"/>
  <c r="I58" i="2"/>
  <c r="I60" i="2"/>
  <c r="L61" i="2"/>
  <c r="L63" i="2" s="1"/>
  <c r="L65" i="2" s="1"/>
  <c r="L67" i="2" s="1"/>
  <c r="T86" i="7" l="1"/>
  <c r="C557" i="2"/>
  <c r="C558" i="2"/>
  <c r="D558" i="2" s="1" a="1"/>
  <c r="D558" i="2" s="1"/>
  <c r="D379" i="2" a="1"/>
  <c r="D379" i="2" s="1"/>
  <c r="O88" i="1" s="1"/>
  <c r="D378" i="2" a="1"/>
  <c r="D378" i="2" s="1"/>
  <c r="O87" i="1" s="1"/>
  <c r="H512" i="2"/>
  <c r="F511" i="2"/>
  <c r="C511" i="2" s="1"/>
  <c r="G382" i="2"/>
  <c r="F382" i="2" s="1"/>
  <c r="H383" i="2"/>
  <c r="B512" i="2"/>
  <c r="D535" i="2" a="1"/>
  <c r="D535" i="2" s="1"/>
  <c r="O107" i="1" s="1"/>
  <c r="B383" i="2"/>
  <c r="V216" i="4"/>
  <c r="S97" i="5"/>
  <c r="V98" i="5"/>
  <c r="T83" i="7"/>
  <c r="T90" i="7"/>
  <c r="T51" i="7"/>
  <c r="T52" i="7"/>
  <c r="T54" i="7"/>
  <c r="T55" i="7"/>
  <c r="T53" i="7"/>
  <c r="T56" i="7"/>
  <c r="T58" i="7"/>
  <c r="T57" i="7"/>
  <c r="T60" i="7"/>
  <c r="T59" i="7"/>
  <c r="T61" i="7"/>
  <c r="T62" i="7"/>
  <c r="T63" i="7"/>
  <c r="T65" i="7"/>
  <c r="T64" i="7"/>
  <c r="T66" i="7"/>
  <c r="T67" i="7"/>
  <c r="T68" i="7"/>
  <c r="T69" i="7"/>
  <c r="T70" i="7"/>
  <c r="T71" i="7"/>
  <c r="T72" i="7"/>
  <c r="T74" i="7"/>
  <c r="T73" i="7"/>
  <c r="T75" i="7"/>
  <c r="T76" i="7"/>
  <c r="T78" i="7"/>
  <c r="T77" i="7"/>
  <c r="T80" i="7"/>
  <c r="T79" i="7"/>
  <c r="T82" i="7"/>
  <c r="T89" i="7"/>
  <c r="T87" i="7"/>
  <c r="T85" i="7"/>
  <c r="T81" i="7"/>
  <c r="T84" i="7"/>
  <c r="T88" i="7"/>
  <c r="B262" i="2"/>
  <c r="H206" i="2"/>
  <c r="B206" i="2"/>
  <c r="S39" i="7"/>
  <c r="V40" i="7"/>
  <c r="S39" i="5"/>
  <c r="V40" i="5"/>
  <c r="V42" i="4"/>
  <c r="K141" i="2"/>
  <c r="I141" i="2" s="1"/>
  <c r="B44" i="2"/>
  <c r="K143" i="2"/>
  <c r="I135" i="2"/>
  <c r="K142" i="2"/>
  <c r="I134" i="2"/>
  <c r="K148" i="2"/>
  <c r="I140" i="2"/>
  <c r="K92" i="2"/>
  <c r="I88" i="2"/>
  <c r="K146" i="2"/>
  <c r="I138" i="2"/>
  <c r="K144" i="2"/>
  <c r="I136" i="2"/>
  <c r="K145" i="2"/>
  <c r="I137" i="2"/>
  <c r="K147" i="2"/>
  <c r="I139" i="2"/>
  <c r="H44" i="2"/>
  <c r="K91" i="2"/>
  <c r="I87" i="2"/>
  <c r="L66" i="2"/>
  <c r="I64" i="2"/>
  <c r="K61" i="2"/>
  <c r="I59" i="2"/>
  <c r="L69" i="2"/>
  <c r="O209" i="1" l="1"/>
  <c r="O227" i="1" s="1"/>
  <c r="U88" i="7"/>
  <c r="W88" i="7" s="1"/>
  <c r="U71" i="7"/>
  <c r="W71" i="7" s="1"/>
  <c r="U53" i="7"/>
  <c r="C380" i="2"/>
  <c r="B513" i="2"/>
  <c r="H384" i="2"/>
  <c r="G383" i="2"/>
  <c r="F383" i="2" s="1"/>
  <c r="H513" i="2"/>
  <c r="F512" i="2"/>
  <c r="C512" i="2" s="1"/>
  <c r="B384" i="2"/>
  <c r="V217" i="4"/>
  <c r="S98" i="5"/>
  <c r="V99" i="5"/>
  <c r="U84" i="7"/>
  <c r="W84" i="7" s="1"/>
  <c r="U77" i="7"/>
  <c r="W77" i="7" s="1"/>
  <c r="U70" i="7"/>
  <c r="W70" i="7" s="1"/>
  <c r="U62" i="7"/>
  <c r="U55" i="7"/>
  <c r="U81" i="7"/>
  <c r="W81" i="7" s="1"/>
  <c r="U78" i="7"/>
  <c r="W78" i="7" s="1"/>
  <c r="U69" i="7"/>
  <c r="W69" i="7" s="1"/>
  <c r="U61" i="7"/>
  <c r="U54" i="7"/>
  <c r="U80" i="7"/>
  <c r="W80" i="7" s="1"/>
  <c r="U76" i="7"/>
  <c r="W76" i="7" s="1"/>
  <c r="U68" i="7"/>
  <c r="W68" i="7" s="1"/>
  <c r="U59" i="7"/>
  <c r="U52" i="7"/>
  <c r="U75" i="7"/>
  <c r="W75" i="7" s="1"/>
  <c r="U67" i="7"/>
  <c r="W67" i="7" s="1"/>
  <c r="U60" i="7"/>
  <c r="U51" i="7"/>
  <c r="U89" i="7"/>
  <c r="W89" i="7" s="1"/>
  <c r="U73" i="7"/>
  <c r="W73" i="7" s="1"/>
  <c r="U66" i="7"/>
  <c r="W66" i="7" s="1"/>
  <c r="U57" i="7"/>
  <c r="U90" i="7"/>
  <c r="W90" i="7" s="1"/>
  <c r="U85" i="7"/>
  <c r="W85" i="7" s="1"/>
  <c r="U74" i="7"/>
  <c r="W74" i="7" s="1"/>
  <c r="U64" i="7"/>
  <c r="W64" i="7" s="1"/>
  <c r="U58" i="7"/>
  <c r="U83" i="7"/>
  <c r="W83" i="7" s="1"/>
  <c r="U63" i="7"/>
  <c r="W63" i="7" s="1"/>
  <c r="U87" i="7"/>
  <c r="W87" i="7" s="1"/>
  <c r="U82" i="7"/>
  <c r="W82" i="7" s="1"/>
  <c r="U79" i="7"/>
  <c r="W79" i="7" s="1"/>
  <c r="U72" i="7"/>
  <c r="W72" i="7" s="1"/>
  <c r="U65" i="7"/>
  <c r="W65" i="7" s="1"/>
  <c r="U56" i="7"/>
  <c r="U86" i="7"/>
  <c r="W86" i="7" s="1"/>
  <c r="B263" i="2"/>
  <c r="B207" i="2"/>
  <c r="H207" i="2"/>
  <c r="S40" i="7"/>
  <c r="V41" i="7"/>
  <c r="S40" i="5"/>
  <c r="V41" i="5"/>
  <c r="V43" i="4"/>
  <c r="K149" i="2"/>
  <c r="I149" i="2" s="1"/>
  <c r="B45" i="2"/>
  <c r="K156" i="2"/>
  <c r="I148" i="2"/>
  <c r="K152" i="2"/>
  <c r="I144" i="2"/>
  <c r="H45" i="2"/>
  <c r="K155" i="2"/>
  <c r="I147" i="2"/>
  <c r="K150" i="2"/>
  <c r="I142" i="2"/>
  <c r="K154" i="2"/>
  <c r="I146" i="2"/>
  <c r="K96" i="2"/>
  <c r="I92" i="2"/>
  <c r="K95" i="2"/>
  <c r="I91" i="2"/>
  <c r="K153" i="2"/>
  <c r="I145" i="2"/>
  <c r="K151" i="2"/>
  <c r="I143" i="2"/>
  <c r="K63" i="2"/>
  <c r="I61" i="2"/>
  <c r="L68" i="2"/>
  <c r="I66" i="2"/>
  <c r="L71" i="2"/>
  <c r="M562" i="2" l="1"/>
  <c r="M555" i="2"/>
  <c r="N555" i="2" s="1" a="1"/>
  <c r="N555" i="2" s="1"/>
  <c r="E559" i="2" s="1" a="1"/>
  <c r="E559" i="2" s="1"/>
  <c r="P208" i="1" s="1"/>
  <c r="P226" i="1" s="1"/>
  <c r="M546" i="2"/>
  <c r="N546" i="2" s="1" a="1"/>
  <c r="N546" i="2" s="1"/>
  <c r="E546" i="2" s="1" a="1"/>
  <c r="E546" i="2" s="1"/>
  <c r="P192" i="1" s="1"/>
  <c r="M541" i="2"/>
  <c r="N541" i="2" s="1" a="1"/>
  <c r="N541" i="2" s="1"/>
  <c r="E541" i="2" s="1" a="1"/>
  <c r="E541" i="2" s="1"/>
  <c r="P116" i="1" s="1"/>
  <c r="P126" i="1" s="1"/>
  <c r="M538" i="2"/>
  <c r="N538" i="2" s="1" a="1"/>
  <c r="N538" i="2" s="1"/>
  <c r="E535" i="2" s="1" a="1"/>
  <c r="E535" i="2" s="1"/>
  <c r="P107" i="1" s="1"/>
  <c r="M533" i="2"/>
  <c r="N533" i="2" s="1" a="1"/>
  <c r="N533" i="2" s="1"/>
  <c r="E533" i="2" s="1" a="1"/>
  <c r="E533" i="2" s="1"/>
  <c r="P105" i="1" s="1"/>
  <c r="M530" i="2"/>
  <c r="N530" i="2" s="1" a="1"/>
  <c r="N530" i="2" s="1"/>
  <c r="E530" i="2" s="1" a="1"/>
  <c r="E530" i="2" s="1"/>
  <c r="S61" i="1" s="1"/>
  <c r="S67" i="1" s="1"/>
  <c r="M539" i="2"/>
  <c r="N539" i="2" s="1" a="1"/>
  <c r="N539" i="2" s="1"/>
  <c r="E539" i="2" s="1" a="1"/>
  <c r="E539" i="2" s="1"/>
  <c r="S120" i="1" s="1"/>
  <c r="S130" i="1" s="1"/>
  <c r="M534" i="2"/>
  <c r="N534" i="2" s="1" a="1"/>
  <c r="N534" i="2" s="1"/>
  <c r="E536" i="2" s="1" a="1"/>
  <c r="E536" i="2" s="1"/>
  <c r="P108" i="1" s="1"/>
  <c r="M559" i="2"/>
  <c r="N559" i="2" s="1" a="1"/>
  <c r="N559" i="2" s="1"/>
  <c r="E563" i="2" s="1" a="1"/>
  <c r="E563" i="2" s="1"/>
  <c r="P256" i="1" s="1"/>
  <c r="M550" i="2"/>
  <c r="N550" i="2" s="1" a="1"/>
  <c r="N550" i="2" s="1"/>
  <c r="E550" i="2" s="1" a="1"/>
  <c r="E550" i="2" s="1"/>
  <c r="P196" i="1" s="1"/>
  <c r="M545" i="2"/>
  <c r="N545" i="2" s="1" a="1"/>
  <c r="N545" i="2" s="1"/>
  <c r="E545" i="2" s="1" a="1"/>
  <c r="E545" i="2" s="1"/>
  <c r="P191" i="1" s="1"/>
  <c r="M537" i="2"/>
  <c r="N537" i="2" s="1" a="1"/>
  <c r="N537" i="2" s="1"/>
  <c r="E534" i="2" s="1" a="1"/>
  <c r="E534" i="2" s="1"/>
  <c r="P106" i="1" s="1"/>
  <c r="M529" i="2"/>
  <c r="N529" i="2" s="1" a="1"/>
  <c r="N529" i="2" s="1"/>
  <c r="E529" i="2" s="1" a="1"/>
  <c r="E529" i="2" s="1"/>
  <c r="P57" i="1" s="1"/>
  <c r="M554" i="2"/>
  <c r="N554" i="2" s="1" a="1"/>
  <c r="N554" i="2" s="1"/>
  <c r="E558" i="2" s="1" a="1"/>
  <c r="E558" i="2" s="1"/>
  <c r="P209" i="1" s="1"/>
  <c r="P227" i="1" s="1"/>
  <c r="M549" i="2"/>
  <c r="N549" i="2" s="1" a="1"/>
  <c r="N549" i="2" s="1"/>
  <c r="E549" i="2" s="1" a="1"/>
  <c r="E549" i="2" s="1"/>
  <c r="P195" i="1" s="1"/>
  <c r="M544" i="2"/>
  <c r="N544" i="2" s="1" a="1"/>
  <c r="N544" i="2" s="1"/>
  <c r="E544" i="2" s="1" a="1"/>
  <c r="E544" i="2" s="1"/>
  <c r="P190" i="1" s="1"/>
  <c r="M536" i="2"/>
  <c r="N536" i="2" s="1" a="1"/>
  <c r="N536" i="2" s="1"/>
  <c r="E538" i="2" s="1" a="1"/>
  <c r="E538" i="2" s="1"/>
  <c r="P110" i="1" s="1"/>
  <c r="M528" i="2"/>
  <c r="N528" i="2" s="1" a="1"/>
  <c r="N528" i="2" s="1"/>
  <c r="E528" i="2" s="1" a="1"/>
  <c r="E528" i="2" s="1"/>
  <c r="P56" i="1" s="1"/>
  <c r="M563" i="2"/>
  <c r="M542" i="2"/>
  <c r="N542" i="2" s="1" a="1"/>
  <c r="N542" i="2" s="1"/>
  <c r="E542" i="2" s="1" a="1"/>
  <c r="E542" i="2" s="1"/>
  <c r="P113" i="1" s="1"/>
  <c r="P123" i="1" s="1"/>
  <c r="M526" i="2"/>
  <c r="N526" i="2" s="1" a="1"/>
  <c r="N526" i="2" s="1"/>
  <c r="E526" i="2" s="1" a="1"/>
  <c r="E526" i="2" s="1"/>
  <c r="P54" i="1" s="1"/>
  <c r="M558" i="2"/>
  <c r="N558" i="2" s="1" a="1"/>
  <c r="N558" i="2" s="1"/>
  <c r="E562" i="2" s="1" a="1"/>
  <c r="E562" i="2" s="1"/>
  <c r="P255" i="1" s="1"/>
  <c r="M553" i="2"/>
  <c r="N553" i="2" s="1" a="1"/>
  <c r="N553" i="2" s="1"/>
  <c r="E553" i="2" s="1" a="1"/>
  <c r="E553" i="2" s="1"/>
  <c r="P199" i="1" s="1"/>
  <c r="M548" i="2"/>
  <c r="N548" i="2" s="1" a="1"/>
  <c r="N548" i="2" s="1"/>
  <c r="E548" i="2" s="1" a="1"/>
  <c r="E548" i="2" s="1"/>
  <c r="P194" i="1" s="1"/>
  <c r="M540" i="2"/>
  <c r="N540" i="2" s="1" a="1"/>
  <c r="N540" i="2" s="1"/>
  <c r="E540" i="2" s="1" a="1"/>
  <c r="E540" i="2" s="1"/>
  <c r="S117" i="1" s="1"/>
  <c r="S127" i="1" s="1"/>
  <c r="M532" i="2"/>
  <c r="N532" i="2" s="1" a="1"/>
  <c r="N532" i="2" s="1"/>
  <c r="E532" i="2" s="1" a="1"/>
  <c r="E532" i="2" s="1"/>
  <c r="P104" i="1" s="1"/>
  <c r="M560" i="2"/>
  <c r="N560" i="2" s="1" a="1"/>
  <c r="N560" i="2" s="1"/>
  <c r="E564" i="2" s="1" a="1"/>
  <c r="E564" i="2" s="1"/>
  <c r="P257" i="1" s="1"/>
  <c r="M561" i="2"/>
  <c r="M557" i="2"/>
  <c r="N557" i="2" s="1" a="1"/>
  <c r="N557" i="2" s="1"/>
  <c r="E561" i="2" s="1" a="1"/>
  <c r="E561" i="2" s="1"/>
  <c r="P204" i="1" s="1"/>
  <c r="P222" i="1" s="1"/>
  <c r="M552" i="2"/>
  <c r="N552" i="2" s="1" a="1"/>
  <c r="N552" i="2" s="1"/>
  <c r="E552" i="2" s="1" a="1"/>
  <c r="E552" i="2" s="1"/>
  <c r="P198" i="1" s="1"/>
  <c r="M531" i="2"/>
  <c r="N531" i="2" s="1" a="1"/>
  <c r="N531" i="2" s="1"/>
  <c r="E531" i="2" s="1" a="1"/>
  <c r="E531" i="2" s="1"/>
  <c r="P60" i="1" s="1"/>
  <c r="P66" i="1" s="1"/>
  <c r="M564" i="2"/>
  <c r="M556" i="2"/>
  <c r="N556" i="2" s="1" a="1"/>
  <c r="N556" i="2" s="1"/>
  <c r="E560" i="2" s="1" a="1"/>
  <c r="E560" i="2" s="1"/>
  <c r="P205" i="1" s="1"/>
  <c r="P223" i="1" s="1"/>
  <c r="M543" i="2"/>
  <c r="N543" i="2" s="1" a="1"/>
  <c r="N543" i="2" s="1"/>
  <c r="E543" i="2" s="1" a="1"/>
  <c r="E543" i="2" s="1"/>
  <c r="P189" i="1" s="1"/>
  <c r="M535" i="2"/>
  <c r="N535" i="2" s="1" a="1"/>
  <c r="N535" i="2" s="1"/>
  <c r="E537" i="2" s="1" a="1"/>
  <c r="E537" i="2" s="1"/>
  <c r="P109" i="1" s="1"/>
  <c r="M527" i="2"/>
  <c r="N527" i="2" s="1" a="1"/>
  <c r="N527" i="2" s="1"/>
  <c r="E527" i="2" s="1" a="1"/>
  <c r="E527" i="2" s="1"/>
  <c r="P55" i="1" s="1"/>
  <c r="M547" i="2"/>
  <c r="N547" i="2" s="1" a="1"/>
  <c r="N547" i="2" s="1"/>
  <c r="E547" i="2" s="1" a="1"/>
  <c r="E547" i="2" s="1"/>
  <c r="P193" i="1" s="1"/>
  <c r="M551" i="2"/>
  <c r="N551" i="2" s="1" a="1"/>
  <c r="N551" i="2" s="1"/>
  <c r="E551" i="2" s="1" a="1"/>
  <c r="E551" i="2" s="1"/>
  <c r="P197" i="1" s="1"/>
  <c r="D380" i="2" a="1"/>
  <c r="D380" i="2" s="1"/>
  <c r="O89" i="1" s="1"/>
  <c r="C381" i="2"/>
  <c r="G384" i="2"/>
  <c r="F384" i="2" s="1"/>
  <c r="H385" i="2"/>
  <c r="B385" i="2"/>
  <c r="H514" i="2"/>
  <c r="F513" i="2"/>
  <c r="C513" i="2" s="1"/>
  <c r="B514" i="2"/>
  <c r="V218" i="4"/>
  <c r="V100" i="5"/>
  <c r="S99" i="5"/>
  <c r="B264" i="2"/>
  <c r="B208" i="2"/>
  <c r="H208" i="2"/>
  <c r="V42" i="7"/>
  <c r="S41" i="7"/>
  <c r="V42" i="5"/>
  <c r="S41" i="5"/>
  <c r="V44" i="4"/>
  <c r="K157" i="2"/>
  <c r="I157" i="2" s="1"/>
  <c r="B46" i="2"/>
  <c r="K100" i="2"/>
  <c r="I96" i="2"/>
  <c r="K99" i="2"/>
  <c r="I95" i="2"/>
  <c r="K159" i="2"/>
  <c r="I159" i="2" s="1"/>
  <c r="I151" i="2"/>
  <c r="H46" i="2"/>
  <c r="K162" i="2"/>
  <c r="I162" i="2" s="1"/>
  <c r="I154" i="2"/>
  <c r="K160" i="2"/>
  <c r="I160" i="2" s="1"/>
  <c r="I152" i="2"/>
  <c r="K161" i="2"/>
  <c r="I161" i="2" s="1"/>
  <c r="I153" i="2"/>
  <c r="K158" i="2"/>
  <c r="I158" i="2" s="1"/>
  <c r="I150" i="2"/>
  <c r="K163" i="2"/>
  <c r="I163" i="2" s="1"/>
  <c r="I155" i="2"/>
  <c r="K164" i="2"/>
  <c r="I164" i="2" s="1"/>
  <c r="I156" i="2"/>
  <c r="L70" i="2"/>
  <c r="I68" i="2"/>
  <c r="K65" i="2"/>
  <c r="I63" i="2"/>
  <c r="L73" i="2"/>
  <c r="N561" i="2" l="1" a="1"/>
  <c r="N561" i="2" s="1"/>
  <c r="E554" i="2" s="1" a="1"/>
  <c r="E554" i="2" s="1"/>
  <c r="S217" i="1" s="1"/>
  <c r="S235" i="1" s="1"/>
  <c r="K561" i="2" a="1"/>
  <c r="K561" i="2" s="1"/>
  <c r="I561" i="2" s="1"/>
  <c r="D554" i="2" s="1" a="1"/>
  <c r="D554" i="2" s="1"/>
  <c r="K563" i="2" a="1"/>
  <c r="K563" i="2" s="1"/>
  <c r="I563" i="2" s="1"/>
  <c r="D556" i="2" s="1" a="1"/>
  <c r="D556" i="2" s="1"/>
  <c r="N563" i="2" a="1"/>
  <c r="N563" i="2" s="1"/>
  <c r="E556" i="2" s="1" a="1"/>
  <c r="E556" i="2" s="1"/>
  <c r="S213" i="1" s="1"/>
  <c r="S231" i="1" s="1"/>
  <c r="N564" i="2" a="1"/>
  <c r="N564" i="2" s="1"/>
  <c r="E557" i="2" s="1" a="1"/>
  <c r="E557" i="2" s="1"/>
  <c r="S212" i="1" s="1"/>
  <c r="S230" i="1" s="1"/>
  <c r="K564" i="2" a="1"/>
  <c r="K564" i="2" s="1"/>
  <c r="I564" i="2" s="1"/>
  <c r="D557" i="2" s="1" a="1"/>
  <c r="D557" i="2" s="1"/>
  <c r="N562" i="2" a="1"/>
  <c r="N562" i="2" s="1"/>
  <c r="E555" i="2" s="1" a="1"/>
  <c r="E555" i="2" s="1"/>
  <c r="S216" i="1" s="1"/>
  <c r="S234" i="1" s="1"/>
  <c r="K562" i="2" a="1"/>
  <c r="K562" i="2" s="1"/>
  <c r="I562" i="2" s="1"/>
  <c r="D555" i="2" s="1" a="1"/>
  <c r="D555" i="2" s="1"/>
  <c r="C382" i="2"/>
  <c r="D381" i="2" a="1"/>
  <c r="D381" i="2" s="1"/>
  <c r="O90" i="1" s="1"/>
  <c r="B386" i="2"/>
  <c r="G385" i="2"/>
  <c r="F385" i="2" s="1"/>
  <c r="C383" i="2" s="1"/>
  <c r="H386" i="2"/>
  <c r="F514" i="2"/>
  <c r="C514" i="2" s="1"/>
  <c r="V219" i="4"/>
  <c r="V101" i="5"/>
  <c r="S101" i="5" s="1"/>
  <c r="T97" i="5" s="1"/>
  <c r="S100" i="5"/>
  <c r="B265" i="2"/>
  <c r="B209" i="2"/>
  <c r="H209" i="2"/>
  <c r="S42" i="7"/>
  <c r="V43" i="7"/>
  <c r="S42" i="5"/>
  <c r="V43" i="5"/>
  <c r="V45" i="4"/>
  <c r="B47" i="2"/>
  <c r="K103" i="2"/>
  <c r="I99" i="2"/>
  <c r="H47" i="2"/>
  <c r="K104" i="2"/>
  <c r="I100" i="2"/>
  <c r="L72" i="2"/>
  <c r="I70" i="2"/>
  <c r="K67" i="2"/>
  <c r="I65" i="2"/>
  <c r="L75" i="2"/>
  <c r="R216" i="1" l="1"/>
  <c r="R234" i="1" s="1"/>
  <c r="R212" i="1"/>
  <c r="R230" i="1" s="1"/>
  <c r="R213" i="1"/>
  <c r="R231" i="1" s="1"/>
  <c r="R217" i="1"/>
  <c r="R235" i="1" s="1"/>
  <c r="D383" i="2" a="1"/>
  <c r="D383" i="2" s="1"/>
  <c r="D382" i="2" a="1"/>
  <c r="D382" i="2" s="1"/>
  <c r="B387" i="2"/>
  <c r="G386" i="2"/>
  <c r="F386" i="2" s="1"/>
  <c r="H387" i="2"/>
  <c r="D514" i="2" a="1"/>
  <c r="D514" i="2" s="1"/>
  <c r="O252" i="1" s="1"/>
  <c r="V220" i="4"/>
  <c r="T101" i="5"/>
  <c r="T60" i="5"/>
  <c r="T58" i="5"/>
  <c r="T59" i="5"/>
  <c r="T62" i="5"/>
  <c r="T64" i="5"/>
  <c r="T61" i="5"/>
  <c r="T63" i="5"/>
  <c r="T65" i="5"/>
  <c r="T66" i="5"/>
  <c r="T67" i="5"/>
  <c r="T68" i="5"/>
  <c r="T70" i="5"/>
  <c r="T71" i="5"/>
  <c r="T69" i="5"/>
  <c r="T73" i="5"/>
  <c r="T72" i="5"/>
  <c r="T74" i="5"/>
  <c r="T77" i="5"/>
  <c r="T75" i="5"/>
  <c r="T76" i="5"/>
  <c r="T78" i="5"/>
  <c r="T79" i="5"/>
  <c r="T80" i="5"/>
  <c r="T81" i="5"/>
  <c r="T82" i="5"/>
  <c r="T83" i="5"/>
  <c r="T84" i="5"/>
  <c r="T86" i="5"/>
  <c r="T88" i="5"/>
  <c r="T85" i="5"/>
  <c r="T91" i="5"/>
  <c r="T87" i="5"/>
  <c r="T89" i="5"/>
  <c r="T93" i="5"/>
  <c r="T90" i="5"/>
  <c r="T94" i="5"/>
  <c r="T99" i="5"/>
  <c r="T92" i="5"/>
  <c r="T100" i="5"/>
  <c r="T98" i="5"/>
  <c r="T95" i="5"/>
  <c r="T96" i="5"/>
  <c r="B266" i="2"/>
  <c r="B210" i="2"/>
  <c r="H210" i="2"/>
  <c r="S43" i="7"/>
  <c r="V44" i="7"/>
  <c r="S43" i="5"/>
  <c r="V44" i="5"/>
  <c r="V46" i="4"/>
  <c r="B48" i="2"/>
  <c r="K108" i="2"/>
  <c r="I104" i="2"/>
  <c r="H48" i="2"/>
  <c r="K107" i="2"/>
  <c r="I103" i="2"/>
  <c r="L74" i="2"/>
  <c r="I72" i="2"/>
  <c r="K69" i="2"/>
  <c r="I67" i="2"/>
  <c r="R114" i="1" l="1"/>
  <c r="R124" i="1" s="1"/>
  <c r="R113" i="1"/>
  <c r="R123" i="1" s="1"/>
  <c r="U92" i="5"/>
  <c r="W92" i="5" s="1"/>
  <c r="U100" i="5"/>
  <c r="W100" i="5" s="1"/>
  <c r="C384" i="2"/>
  <c r="G387" i="2"/>
  <c r="F387" i="2" s="1"/>
  <c r="C385" i="2" s="1"/>
  <c r="H388" i="2"/>
  <c r="B388" i="2"/>
  <c r="V221" i="4"/>
  <c r="U69" i="5"/>
  <c r="U99" i="5"/>
  <c r="W99" i="5" s="1"/>
  <c r="U88" i="5"/>
  <c r="W88" i="5" s="1"/>
  <c r="U78" i="5"/>
  <c r="U71" i="5"/>
  <c r="U64" i="5"/>
  <c r="U61" i="5"/>
  <c r="U94" i="5"/>
  <c r="W94" i="5" s="1"/>
  <c r="U86" i="5"/>
  <c r="W86" i="5" s="1"/>
  <c r="U76" i="5"/>
  <c r="U70" i="5"/>
  <c r="U62" i="5"/>
  <c r="U85" i="5"/>
  <c r="W85" i="5" s="1"/>
  <c r="U75" i="5"/>
  <c r="U68" i="5"/>
  <c r="U59" i="5"/>
  <c r="U79" i="5"/>
  <c r="U96" i="5"/>
  <c r="W96" i="5" s="1"/>
  <c r="U93" i="5"/>
  <c r="W93" i="5" s="1"/>
  <c r="U83" i="5"/>
  <c r="W83" i="5" s="1"/>
  <c r="U77" i="5"/>
  <c r="U67" i="5"/>
  <c r="U58" i="5"/>
  <c r="U90" i="5"/>
  <c r="W90" i="5" s="1"/>
  <c r="U95" i="5"/>
  <c r="W95" i="5" s="1"/>
  <c r="U89" i="5"/>
  <c r="W89" i="5" s="1"/>
  <c r="U82" i="5"/>
  <c r="W82" i="5" s="1"/>
  <c r="U74" i="5"/>
  <c r="U66" i="5"/>
  <c r="U60" i="5"/>
  <c r="U84" i="5"/>
  <c r="W84" i="5" s="1"/>
  <c r="U98" i="5"/>
  <c r="W98" i="5" s="1"/>
  <c r="U87" i="5"/>
  <c r="W87" i="5" s="1"/>
  <c r="U81" i="5"/>
  <c r="U72" i="5"/>
  <c r="U65" i="5"/>
  <c r="U101" i="5"/>
  <c r="W101" i="5" s="1"/>
  <c r="U91" i="5"/>
  <c r="W91" i="5" s="1"/>
  <c r="U80" i="5"/>
  <c r="U73" i="5"/>
  <c r="U63" i="5"/>
  <c r="U97" i="5"/>
  <c r="W97" i="5" s="1"/>
  <c r="B267" i="2"/>
  <c r="B211" i="2"/>
  <c r="H211" i="2"/>
  <c r="V45" i="7"/>
  <c r="S44" i="7"/>
  <c r="S44" i="5"/>
  <c r="V45" i="5"/>
  <c r="V47" i="4"/>
  <c r="B49" i="2"/>
  <c r="H49" i="2"/>
  <c r="K111" i="2"/>
  <c r="I107" i="2"/>
  <c r="K112" i="2"/>
  <c r="I108" i="2"/>
  <c r="L76" i="2"/>
  <c r="I74" i="2"/>
  <c r="K71" i="2"/>
  <c r="I69" i="2"/>
  <c r="M493" i="2" l="1"/>
  <c r="N493" i="2" s="1" a="1"/>
  <c r="N493" i="2" s="1"/>
  <c r="M514" i="2"/>
  <c r="M506" i="2"/>
  <c r="M498" i="2"/>
  <c r="M490" i="2"/>
  <c r="N490" i="2" s="1" a="1"/>
  <c r="N490" i="2" s="1"/>
  <c r="M482" i="2"/>
  <c r="N482" i="2" s="1" a="1"/>
  <c r="N482" i="2" s="1"/>
  <c r="M474" i="2"/>
  <c r="N474" i="2" s="1" a="1"/>
  <c r="N474" i="2" s="1"/>
  <c r="M513" i="2"/>
  <c r="N513" i="2" s="1" a="1"/>
  <c r="N513" i="2" s="1"/>
  <c r="M505" i="2"/>
  <c r="M497" i="2"/>
  <c r="M489" i="2"/>
  <c r="N489" i="2" s="1" a="1"/>
  <c r="N489" i="2" s="1"/>
  <c r="M481" i="2"/>
  <c r="N481" i="2" s="1" a="1"/>
  <c r="N481" i="2" s="1"/>
  <c r="M473" i="2"/>
  <c r="N473" i="2" s="1" a="1"/>
  <c r="N473" i="2" s="1"/>
  <c r="M509" i="2"/>
  <c r="M477" i="2"/>
  <c r="N477" i="2" s="1" a="1"/>
  <c r="N477" i="2" s="1"/>
  <c r="M512" i="2"/>
  <c r="M504" i="2"/>
  <c r="M496" i="2"/>
  <c r="M488" i="2"/>
  <c r="N488" i="2" s="1" a="1"/>
  <c r="N488" i="2" s="1"/>
  <c r="M480" i="2"/>
  <c r="N480" i="2" s="1" a="1"/>
  <c r="N480" i="2" s="1"/>
  <c r="M472" i="2"/>
  <c r="N472" i="2" s="1" a="1"/>
  <c r="N472" i="2" s="1"/>
  <c r="M511" i="2"/>
  <c r="M503" i="2"/>
  <c r="M495" i="2"/>
  <c r="M487" i="2"/>
  <c r="N487" i="2" s="1" a="1"/>
  <c r="N487" i="2" s="1"/>
  <c r="M479" i="2"/>
  <c r="N479" i="2" s="1" a="1"/>
  <c r="N479" i="2" s="1"/>
  <c r="M471" i="2"/>
  <c r="N471" i="2" s="1" a="1"/>
  <c r="N471" i="2" s="1"/>
  <c r="E471" i="2" s="1" a="1"/>
  <c r="E471" i="2" s="1"/>
  <c r="P49" i="1" s="1"/>
  <c r="M501" i="2"/>
  <c r="M485" i="2"/>
  <c r="N485" i="2" s="1" a="1"/>
  <c r="N485" i="2" s="1"/>
  <c r="M483" i="2"/>
  <c r="N483" i="2" s="1" a="1"/>
  <c r="N483" i="2" s="1"/>
  <c r="M510" i="2"/>
  <c r="M502" i="2"/>
  <c r="M494" i="2"/>
  <c r="N494" i="2" s="1" a="1"/>
  <c r="N494" i="2" s="1"/>
  <c r="M486" i="2"/>
  <c r="N486" i="2" s="1" a="1"/>
  <c r="N486" i="2" s="1"/>
  <c r="M478" i="2"/>
  <c r="N478" i="2" s="1" a="1"/>
  <c r="N478" i="2" s="1"/>
  <c r="M508" i="2"/>
  <c r="M500" i="2"/>
  <c r="M492" i="2"/>
  <c r="N492" i="2" s="1" a="1"/>
  <c r="N492" i="2" s="1"/>
  <c r="M484" i="2"/>
  <c r="N484" i="2" s="1" a="1"/>
  <c r="N484" i="2" s="1"/>
  <c r="M476" i="2"/>
  <c r="N476" i="2" s="1" a="1"/>
  <c r="N476" i="2" s="1"/>
  <c r="M507" i="2"/>
  <c r="M499" i="2"/>
  <c r="M491" i="2"/>
  <c r="N491" i="2" s="1" a="1"/>
  <c r="N491" i="2" s="1"/>
  <c r="M475" i="2"/>
  <c r="N475" i="2" s="1" a="1"/>
  <c r="N475" i="2" s="1"/>
  <c r="D385" i="2" a="1"/>
  <c r="D385" i="2" s="1"/>
  <c r="D384" i="2" a="1"/>
  <c r="D384" i="2" s="1"/>
  <c r="H389" i="2"/>
  <c r="G388" i="2"/>
  <c r="F388" i="2" s="1"/>
  <c r="B389" i="2"/>
  <c r="V222" i="4"/>
  <c r="B268" i="2"/>
  <c r="B212" i="2"/>
  <c r="H212" i="2"/>
  <c r="S45" i="7"/>
  <c r="V46" i="7"/>
  <c r="S45" i="5"/>
  <c r="V46" i="5"/>
  <c r="V48" i="4"/>
  <c r="B50" i="2"/>
  <c r="K116" i="2"/>
  <c r="I116" i="2" s="1"/>
  <c r="E244" i="1" s="1"/>
  <c r="I112" i="2"/>
  <c r="E240" i="1" s="1"/>
  <c r="K115" i="2"/>
  <c r="I115" i="2" s="1"/>
  <c r="E243" i="1" s="1"/>
  <c r="I111" i="2"/>
  <c r="E239" i="1" s="1"/>
  <c r="H50" i="2"/>
  <c r="K73" i="2"/>
  <c r="I71" i="2"/>
  <c r="I76" i="2"/>
  <c r="N495" i="2" l="1" a="1"/>
  <c r="N495" i="2" s="1"/>
  <c r="K495" i="2" a="1"/>
  <c r="K495" i="2" s="1"/>
  <c r="L495" i="2" a="1"/>
  <c r="L495" i="2" s="1"/>
  <c r="I495" i="2" s="1"/>
  <c r="D496" i="2" s="1" a="1"/>
  <c r="D496" i="2" s="1"/>
  <c r="O183" i="1" s="1"/>
  <c r="N510" i="2" a="1"/>
  <c r="N510" i="2" s="1"/>
  <c r="L510" i="2" a="1"/>
  <c r="L510" i="2" s="1"/>
  <c r="K510" i="2" a="1"/>
  <c r="K510" i="2" s="1"/>
  <c r="N503" i="2" a="1"/>
  <c r="N503" i="2" s="1"/>
  <c r="E504" i="2" s="1" a="1"/>
  <c r="E504" i="2" s="1"/>
  <c r="P207" i="1" s="1"/>
  <c r="P225" i="1" s="1"/>
  <c r="L503" i="2" a="1"/>
  <c r="L503" i="2" s="1"/>
  <c r="I503" i="2" s="1"/>
  <c r="D504" i="2" s="1" a="1"/>
  <c r="D504" i="2" s="1"/>
  <c r="O207" i="1" s="1"/>
  <c r="O225" i="1" s="1"/>
  <c r="K503" i="2" a="1"/>
  <c r="K503" i="2" s="1"/>
  <c r="N509" i="2" a="1"/>
  <c r="N509" i="2" s="1"/>
  <c r="L509" i="2" a="1"/>
  <c r="L509" i="2" s="1"/>
  <c r="I509" i="2" s="1"/>
  <c r="D510" i="2" s="1" a="1"/>
  <c r="D510" i="2" s="1"/>
  <c r="O248" i="1" s="1"/>
  <c r="K509" i="2" a="1"/>
  <c r="K509" i="2" s="1"/>
  <c r="N512" i="2" a="1"/>
  <c r="N512" i="2" s="1"/>
  <c r="E513" i="2" s="1" a="1"/>
  <c r="E513" i="2" s="1"/>
  <c r="P251" i="1" s="1"/>
  <c r="K512" i="2" a="1"/>
  <c r="K512" i="2" s="1"/>
  <c r="L512" i="2" a="1"/>
  <c r="L512" i="2" s="1"/>
  <c r="I512" i="2" s="1"/>
  <c r="D513" i="2" s="1" a="1"/>
  <c r="D513" i="2" s="1"/>
  <c r="O251" i="1" s="1"/>
  <c r="N508" i="2" a="1"/>
  <c r="N508" i="2" s="1"/>
  <c r="E509" i="2" s="1" a="1"/>
  <c r="E509" i="2" s="1"/>
  <c r="P247" i="1" s="1"/>
  <c r="L508" i="2" a="1"/>
  <c r="L508" i="2" s="1"/>
  <c r="K508" i="2" a="1"/>
  <c r="K508" i="2" s="1"/>
  <c r="N498" i="2" a="1"/>
  <c r="N498" i="2" s="1"/>
  <c r="E499" i="2" s="1" a="1"/>
  <c r="E499" i="2" s="1"/>
  <c r="S218" i="1" s="1"/>
  <c r="S236" i="1" s="1"/>
  <c r="K498" i="2" a="1"/>
  <c r="K498" i="2" s="1"/>
  <c r="L498" i="2" a="1"/>
  <c r="L498" i="2" s="1"/>
  <c r="N502" i="2" a="1"/>
  <c r="N502" i="2" s="1"/>
  <c r="L502" i="2" a="1"/>
  <c r="L502" i="2" s="1"/>
  <c r="K502" i="2" a="1"/>
  <c r="K502" i="2" s="1"/>
  <c r="N511" i="2" a="1"/>
  <c r="N511" i="2" s="1"/>
  <c r="K511" i="2" a="1"/>
  <c r="K511" i="2" s="1"/>
  <c r="L511" i="2" a="1"/>
  <c r="L511" i="2" s="1"/>
  <c r="I511" i="2" s="1"/>
  <c r="D512" i="2" s="1" a="1"/>
  <c r="D512" i="2" s="1"/>
  <c r="O250" i="1" s="1"/>
  <c r="N501" i="2" a="1"/>
  <c r="N501" i="2" s="1"/>
  <c r="L501" i="2" a="1"/>
  <c r="L501" i="2" s="1"/>
  <c r="I501" i="2" s="1"/>
  <c r="D502" i="2" s="1" a="1"/>
  <c r="D502" i="2" s="1"/>
  <c r="R211" i="1" s="1"/>
  <c r="R229" i="1" s="1"/>
  <c r="K501" i="2" a="1"/>
  <c r="K501" i="2" s="1"/>
  <c r="N506" i="2" a="1"/>
  <c r="N506" i="2" s="1"/>
  <c r="E507" i="2" s="1" a="1"/>
  <c r="E507" i="2" s="1"/>
  <c r="P245" i="1" s="1"/>
  <c r="K506" i="2" a="1"/>
  <c r="K506" i="2" s="1"/>
  <c r="L506" i="2" a="1"/>
  <c r="L506" i="2" s="1"/>
  <c r="N500" i="2" a="1"/>
  <c r="N500" i="2" s="1"/>
  <c r="K500" i="2" a="1"/>
  <c r="K500" i="2" s="1"/>
  <c r="L500" i="2" a="1"/>
  <c r="L500" i="2" s="1"/>
  <c r="N499" i="2" a="1"/>
  <c r="N499" i="2" s="1"/>
  <c r="E500" i="2" s="1" a="1"/>
  <c r="E500" i="2" s="1"/>
  <c r="S215" i="1" s="1"/>
  <c r="S233" i="1" s="1"/>
  <c r="K499" i="2" a="1"/>
  <c r="K499" i="2" s="1"/>
  <c r="L499" i="2" a="1"/>
  <c r="L499" i="2" s="1"/>
  <c r="I499" i="2" s="1"/>
  <c r="D500" i="2" s="1" a="1"/>
  <c r="D500" i="2" s="1"/>
  <c r="R215" i="1" s="1"/>
  <c r="R233" i="1" s="1"/>
  <c r="N507" i="2" a="1"/>
  <c r="N507" i="2" s="1"/>
  <c r="E508" i="2" s="1" a="1"/>
  <c r="E508" i="2" s="1"/>
  <c r="P246" i="1" s="1"/>
  <c r="L507" i="2" a="1"/>
  <c r="L507" i="2" s="1"/>
  <c r="K507" i="2" a="1"/>
  <c r="K507" i="2" s="1"/>
  <c r="N496" i="2" a="1"/>
  <c r="N496" i="2" s="1"/>
  <c r="L496" i="2" a="1"/>
  <c r="L496" i="2" s="1"/>
  <c r="K496" i="2" a="1"/>
  <c r="K496" i="2" s="1"/>
  <c r="N497" i="2" a="1"/>
  <c r="N497" i="2" s="1"/>
  <c r="E498" i="2" s="1" a="1"/>
  <c r="E498" i="2" s="1"/>
  <c r="P185" i="1" s="1"/>
  <c r="K497" i="2" a="1"/>
  <c r="K497" i="2" s="1"/>
  <c r="L497" i="2" a="1"/>
  <c r="L497" i="2" s="1"/>
  <c r="I497" i="2" s="1"/>
  <c r="D498" i="2" s="1" a="1"/>
  <c r="D498" i="2" s="1"/>
  <c r="O185" i="1" s="1"/>
  <c r="N514" i="2" a="1"/>
  <c r="N514" i="2" s="1"/>
  <c r="K514" i="2" a="1"/>
  <c r="K514" i="2" s="1"/>
  <c r="L514" i="2" a="1"/>
  <c r="L514" i="2" s="1"/>
  <c r="I514" i="2" s="1"/>
  <c r="N504" i="2" a="1"/>
  <c r="N504" i="2" s="1"/>
  <c r="E505" i="2" s="1" a="1"/>
  <c r="E505" i="2" s="1"/>
  <c r="P206" i="1" s="1"/>
  <c r="P224" i="1" s="1"/>
  <c r="L504" i="2" a="1"/>
  <c r="L504" i="2" s="1"/>
  <c r="I504" i="2" s="1"/>
  <c r="D505" i="2" s="1" a="1"/>
  <c r="D505" i="2" s="1"/>
  <c r="O206" i="1" s="1"/>
  <c r="O224" i="1" s="1"/>
  <c r="K504" i="2" a="1"/>
  <c r="K504" i="2" s="1"/>
  <c r="N505" i="2" a="1"/>
  <c r="N505" i="2" s="1"/>
  <c r="E506" i="2" s="1" a="1"/>
  <c r="E506" i="2" s="1"/>
  <c r="P203" i="1" s="1"/>
  <c r="P221" i="1" s="1"/>
  <c r="K505" i="2" a="1"/>
  <c r="K505" i="2" s="1"/>
  <c r="L505" i="2" a="1"/>
  <c r="L505" i="2" s="1"/>
  <c r="E494" i="2" a="1"/>
  <c r="E494" i="2" s="1"/>
  <c r="P181" i="1" s="1"/>
  <c r="E475" i="2" a="1"/>
  <c r="E475" i="2" s="1"/>
  <c r="S62" i="1" s="1"/>
  <c r="S68" i="1" s="1"/>
  <c r="E478" i="2" a="1"/>
  <c r="E478" i="2" s="1"/>
  <c r="P96" i="1" s="1"/>
  <c r="E491" i="2" a="1"/>
  <c r="E491" i="2" s="1"/>
  <c r="P178" i="1" s="1"/>
  <c r="E486" i="2" a="1"/>
  <c r="E486" i="2" s="1"/>
  <c r="P115" i="1" s="1"/>
  <c r="P125" i="1" s="1"/>
  <c r="E514" i="2" a="1"/>
  <c r="E514" i="2" s="1"/>
  <c r="P252" i="1" s="1"/>
  <c r="E476" i="2" a="1"/>
  <c r="E476" i="2" s="1"/>
  <c r="P59" i="1" s="1"/>
  <c r="P65" i="1" s="1"/>
  <c r="E501" i="2" a="1"/>
  <c r="E501" i="2" s="1"/>
  <c r="S214" i="1" s="1"/>
  <c r="S232" i="1" s="1"/>
  <c r="E481" i="2" a="1"/>
  <c r="E481" i="2" s="1"/>
  <c r="P99" i="1" s="1"/>
  <c r="E488" i="2" a="1"/>
  <c r="E488" i="2" s="1"/>
  <c r="P175" i="1" s="1"/>
  <c r="E511" i="2" a="1"/>
  <c r="E511" i="2" s="1"/>
  <c r="P249" i="1" s="1"/>
  <c r="E480" i="2" a="1"/>
  <c r="E480" i="2" s="1"/>
  <c r="P98" i="1" s="1"/>
  <c r="E489" i="2" a="1"/>
  <c r="E489" i="2" s="1"/>
  <c r="P176" i="1" s="1"/>
  <c r="E487" i="2" a="1"/>
  <c r="E487" i="2" s="1"/>
  <c r="P114" i="1" s="1"/>
  <c r="P124" i="1" s="1"/>
  <c r="E484" i="2" a="1"/>
  <c r="E484" i="2" s="1"/>
  <c r="S119" i="1" s="1"/>
  <c r="S129" i="1" s="1"/>
  <c r="E502" i="2" a="1"/>
  <c r="E502" i="2" s="1"/>
  <c r="S211" i="1" s="1"/>
  <c r="S229" i="1" s="1"/>
  <c r="E512" i="2" a="1"/>
  <c r="E512" i="2" s="1"/>
  <c r="P250" i="1" s="1"/>
  <c r="E492" i="2" a="1"/>
  <c r="E492" i="2" s="1"/>
  <c r="P179" i="1" s="1"/>
  <c r="E510" i="2" a="1"/>
  <c r="E510" i="2" s="1"/>
  <c r="P248" i="1" s="1"/>
  <c r="E503" i="2" a="1"/>
  <c r="E503" i="2" s="1"/>
  <c r="P210" i="1" s="1"/>
  <c r="P228" i="1" s="1"/>
  <c r="E477" i="2" a="1"/>
  <c r="E477" i="2" s="1"/>
  <c r="P95" i="1" s="1"/>
  <c r="E474" i="2" a="1"/>
  <c r="E474" i="2" s="1"/>
  <c r="P52" i="1" s="1"/>
  <c r="E485" i="2" a="1"/>
  <c r="E485" i="2" s="1"/>
  <c r="S118" i="1" s="1"/>
  <c r="S128" i="1" s="1"/>
  <c r="E472" i="2" a="1"/>
  <c r="E472" i="2" s="1"/>
  <c r="P50" i="1" s="1"/>
  <c r="E473" i="2" a="1"/>
  <c r="E473" i="2" s="1"/>
  <c r="P51" i="1" s="1"/>
  <c r="E490" i="2" a="1"/>
  <c r="E490" i="2" s="1"/>
  <c r="P177" i="1" s="1"/>
  <c r="E479" i="2" a="1"/>
  <c r="E479" i="2" s="1"/>
  <c r="P97" i="1" s="1"/>
  <c r="E496" i="2" a="1"/>
  <c r="E496" i="2" s="1"/>
  <c r="P183" i="1" s="1"/>
  <c r="E497" i="2" a="1"/>
  <c r="E497" i="2" s="1"/>
  <c r="P184" i="1" s="1"/>
  <c r="E483" i="2" a="1"/>
  <c r="E483" i="2" s="1"/>
  <c r="P101" i="1" s="1"/>
  <c r="R115" i="1"/>
  <c r="R125" i="1" s="1"/>
  <c r="R116" i="1"/>
  <c r="R126" i="1" s="1"/>
  <c r="E495" i="2" a="1"/>
  <c r="E495" i="2" s="1"/>
  <c r="P182" i="1" s="1"/>
  <c r="E482" i="2" a="1"/>
  <c r="E482" i="2" s="1"/>
  <c r="P100" i="1" s="1"/>
  <c r="E493" i="2" a="1"/>
  <c r="E493" i="2" s="1"/>
  <c r="P180" i="1" s="1"/>
  <c r="C386" i="2"/>
  <c r="B390" i="2"/>
  <c r="G389" i="2"/>
  <c r="F389" i="2" s="1"/>
  <c r="H390" i="2"/>
  <c r="V223" i="4"/>
  <c r="B269" i="2"/>
  <c r="B213" i="2"/>
  <c r="H213" i="2"/>
  <c r="V47" i="7"/>
  <c r="S46" i="7"/>
  <c r="V47" i="5"/>
  <c r="S46" i="5"/>
  <c r="V49" i="4"/>
  <c r="B51" i="2"/>
  <c r="H51" i="2"/>
  <c r="K75" i="2"/>
  <c r="I73" i="2"/>
  <c r="L81" i="2"/>
  <c r="I81" i="2" s="1"/>
  <c r="I510" i="2" l="1"/>
  <c r="D511" i="2" s="1" a="1"/>
  <c r="D511" i="2" s="1"/>
  <c r="O249" i="1" s="1"/>
  <c r="I500" i="2"/>
  <c r="D501" i="2" s="1" a="1"/>
  <c r="D501" i="2" s="1"/>
  <c r="R214" i="1" s="1"/>
  <c r="R232" i="1" s="1"/>
  <c r="I502" i="2"/>
  <c r="D503" i="2" s="1" a="1"/>
  <c r="D503" i="2" s="1"/>
  <c r="O210" i="1" s="1"/>
  <c r="O228" i="1" s="1"/>
  <c r="I498" i="2"/>
  <c r="D499" i="2" s="1" a="1"/>
  <c r="D499" i="2" s="1"/>
  <c r="R218" i="1" s="1"/>
  <c r="R236" i="1" s="1"/>
  <c r="I496" i="2"/>
  <c r="D497" i="2" s="1" a="1"/>
  <c r="D497" i="2" s="1"/>
  <c r="O184" i="1" s="1"/>
  <c r="I505" i="2"/>
  <c r="D506" i="2" s="1" a="1"/>
  <c r="D506" i="2" s="1"/>
  <c r="O203" i="1" s="1"/>
  <c r="O221" i="1" s="1"/>
  <c r="I507" i="2"/>
  <c r="D508" i="2" s="1" a="1"/>
  <c r="D508" i="2" s="1"/>
  <c r="O246" i="1" s="1"/>
  <c r="I506" i="2"/>
  <c r="D507" i="2" s="1" a="1"/>
  <c r="D507" i="2" s="1"/>
  <c r="O245" i="1" s="1"/>
  <c r="I508" i="2"/>
  <c r="D509" i="2" s="1" a="1"/>
  <c r="D509" i="2" s="1"/>
  <c r="O247" i="1" s="1"/>
  <c r="C387" i="2"/>
  <c r="D386" i="2" a="1"/>
  <c r="D386" i="2" s="1"/>
  <c r="G390" i="2"/>
  <c r="F390" i="2" s="1"/>
  <c r="H391" i="2"/>
  <c r="C390" i="2"/>
  <c r="B391" i="2"/>
  <c r="V224" i="4"/>
  <c r="B270" i="2"/>
  <c r="H214" i="2"/>
  <c r="B214" i="2"/>
  <c r="S47" i="7"/>
  <c r="V48" i="7"/>
  <c r="V48" i="5"/>
  <c r="S47" i="5"/>
  <c r="V50" i="4"/>
  <c r="B52" i="2"/>
  <c r="H52" i="2"/>
  <c r="L85" i="2"/>
  <c r="I85" i="2" s="1"/>
  <c r="I75" i="2"/>
  <c r="O117" i="1" l="1"/>
  <c r="O127" i="1" s="1"/>
  <c r="C388" i="2"/>
  <c r="D387" i="2" a="1"/>
  <c r="D387" i="2" s="1"/>
  <c r="C391" i="2"/>
  <c r="B392" i="2"/>
  <c r="D390" i="2" a="1"/>
  <c r="D390" i="2" s="1"/>
  <c r="O131" i="1" s="1"/>
  <c r="G391" i="2"/>
  <c r="F391" i="2" s="1"/>
  <c r="C389" i="2" s="1"/>
  <c r="H392" i="2"/>
  <c r="V225" i="4"/>
  <c r="B271" i="2"/>
  <c r="H215" i="2"/>
  <c r="B215" i="2"/>
  <c r="S48" i="7"/>
  <c r="T44" i="7" s="1"/>
  <c r="S48" i="5"/>
  <c r="V49" i="5"/>
  <c r="V51" i="4"/>
  <c r="B53" i="2"/>
  <c r="H53" i="2"/>
  <c r="L89" i="2"/>
  <c r="I89" i="2" s="1"/>
  <c r="L82" i="2"/>
  <c r="I82" i="2" s="1"/>
  <c r="O118" i="1" l="1"/>
  <c r="O128" i="1" s="1"/>
  <c r="D389" i="2" a="1"/>
  <c r="D389" i="2" s="1"/>
  <c r="D388" i="2" a="1"/>
  <c r="D388" i="2" s="1"/>
  <c r="H393" i="2"/>
  <c r="G392" i="2"/>
  <c r="F392" i="2" s="1"/>
  <c r="B393" i="2"/>
  <c r="C392" i="2"/>
  <c r="D391" i="2" a="1"/>
  <c r="D391" i="2" s="1"/>
  <c r="O132" i="1" s="1"/>
  <c r="V226" i="4"/>
  <c r="T48" i="7"/>
  <c r="T3" i="7"/>
  <c r="T4" i="7"/>
  <c r="T5" i="7"/>
  <c r="T7" i="7"/>
  <c r="T6" i="7"/>
  <c r="T9" i="7"/>
  <c r="T10" i="7"/>
  <c r="T8" i="7"/>
  <c r="T13" i="7"/>
  <c r="T11" i="7"/>
  <c r="T12" i="7"/>
  <c r="T14" i="7"/>
  <c r="T15" i="7"/>
  <c r="T17" i="7"/>
  <c r="T16" i="7"/>
  <c r="T18" i="7"/>
  <c r="T19" i="7"/>
  <c r="T22" i="7"/>
  <c r="T20" i="7"/>
  <c r="T21" i="7"/>
  <c r="T23" i="7"/>
  <c r="T26" i="7"/>
  <c r="T24" i="7"/>
  <c r="T25" i="7"/>
  <c r="T27" i="7"/>
  <c r="T28" i="7"/>
  <c r="T30" i="7"/>
  <c r="T29" i="7"/>
  <c r="T31" i="7"/>
  <c r="T36" i="7"/>
  <c r="T33" i="7"/>
  <c r="T34" i="7"/>
  <c r="T32" i="7"/>
  <c r="T37" i="7"/>
  <c r="T35" i="7"/>
  <c r="T40" i="7"/>
  <c r="T39" i="7"/>
  <c r="T38" i="7"/>
  <c r="T41" i="7"/>
  <c r="T46" i="7"/>
  <c r="T45" i="7"/>
  <c r="T42" i="7"/>
  <c r="T43" i="7"/>
  <c r="T47" i="7"/>
  <c r="B272" i="2"/>
  <c r="B216" i="2"/>
  <c r="H216" i="2"/>
  <c r="S49" i="5"/>
  <c r="V50" i="5"/>
  <c r="V52" i="4"/>
  <c r="B54" i="2"/>
  <c r="H54" i="2"/>
  <c r="L93" i="2"/>
  <c r="I93" i="2" s="1"/>
  <c r="L86" i="2"/>
  <c r="I86" i="2" s="1"/>
  <c r="O119" i="1" l="1"/>
  <c r="O129" i="1" s="1"/>
  <c r="O120" i="1"/>
  <c r="O130" i="1" s="1"/>
  <c r="U36" i="7"/>
  <c r="W36" i="7" s="1"/>
  <c r="U38" i="7"/>
  <c r="W38" i="7" s="1"/>
  <c r="D392" i="2" a="1"/>
  <c r="D392" i="2" s="1"/>
  <c r="O133" i="1" s="1"/>
  <c r="B394" i="2"/>
  <c r="G393" i="2"/>
  <c r="F393" i="2" s="1"/>
  <c r="C393" i="2" s="1"/>
  <c r="H394" i="2"/>
  <c r="V227" i="4"/>
  <c r="U17" i="7"/>
  <c r="W17" i="7" s="1"/>
  <c r="U31" i="7"/>
  <c r="U23" i="7"/>
  <c r="U15" i="7"/>
  <c r="U6" i="7"/>
  <c r="U9" i="7"/>
  <c r="U40" i="7"/>
  <c r="W40" i="7" s="1"/>
  <c r="U29" i="7"/>
  <c r="W29" i="7" s="1"/>
  <c r="U21" i="7"/>
  <c r="U14" i="7"/>
  <c r="U7" i="7"/>
  <c r="U35" i="7"/>
  <c r="W35" i="7" s="1"/>
  <c r="U30" i="7"/>
  <c r="W30" i="7" s="1"/>
  <c r="U20" i="7"/>
  <c r="W20" i="7" s="1"/>
  <c r="U12" i="7"/>
  <c r="U5" i="7"/>
  <c r="U26" i="7"/>
  <c r="W26" i="7" s="1"/>
  <c r="U42" i="7"/>
  <c r="W42" i="7" s="1"/>
  <c r="U37" i="7"/>
  <c r="W37" i="7" s="1"/>
  <c r="U28" i="7"/>
  <c r="W28" i="7" s="1"/>
  <c r="U22" i="7"/>
  <c r="W22" i="7" s="1"/>
  <c r="U11" i="7"/>
  <c r="U4" i="7"/>
  <c r="U39" i="7"/>
  <c r="W39" i="7" s="1"/>
  <c r="U45" i="7"/>
  <c r="W45" i="7" s="1"/>
  <c r="U32" i="7"/>
  <c r="W32" i="7" s="1"/>
  <c r="U27" i="7"/>
  <c r="W27" i="7" s="1"/>
  <c r="U19" i="7"/>
  <c r="W19" i="7" s="1"/>
  <c r="U13" i="7"/>
  <c r="U3" i="7"/>
  <c r="U43" i="7"/>
  <c r="W43" i="7" s="1"/>
  <c r="U25" i="7"/>
  <c r="W25" i="7" s="1"/>
  <c r="U18" i="7"/>
  <c r="W18" i="7" s="1"/>
  <c r="U8" i="7"/>
  <c r="U48" i="7"/>
  <c r="W48" i="7" s="1"/>
  <c r="U47" i="7"/>
  <c r="W47" i="7" s="1"/>
  <c r="U46" i="7"/>
  <c r="W46" i="7" s="1"/>
  <c r="U34" i="7"/>
  <c r="W34" i="7" s="1"/>
  <c r="U41" i="7"/>
  <c r="W41" i="7" s="1"/>
  <c r="U33" i="7"/>
  <c r="W33" i="7" s="1"/>
  <c r="U24" i="7"/>
  <c r="W24" i="7" s="1"/>
  <c r="U16" i="7"/>
  <c r="U10" i="7"/>
  <c r="U44" i="7"/>
  <c r="W44" i="7" s="1"/>
  <c r="W31" i="7"/>
  <c r="W21" i="7"/>
  <c r="W23" i="7"/>
  <c r="B273" i="2"/>
  <c r="H217" i="2"/>
  <c r="B217" i="2"/>
  <c r="V51" i="5"/>
  <c r="S50" i="5"/>
  <c r="V53" i="4"/>
  <c r="B55" i="2"/>
  <c r="H55" i="2"/>
  <c r="L97" i="2"/>
  <c r="I97" i="2" s="1"/>
  <c r="L90" i="2"/>
  <c r="I90" i="2" s="1"/>
  <c r="M225" i="2" l="1"/>
  <c r="N225" i="2" s="1" a="1"/>
  <c r="N225" i="2" s="1"/>
  <c r="B395" i="2"/>
  <c r="G394" i="2"/>
  <c r="F394" i="2" s="1"/>
  <c r="C394" i="2" s="1"/>
  <c r="H395" i="2"/>
  <c r="D393" i="2" a="1"/>
  <c r="D393" i="2" s="1"/>
  <c r="O134" i="1" s="1"/>
  <c r="V228" i="4"/>
  <c r="B274" i="2"/>
  <c r="B218" i="2"/>
  <c r="H218" i="2"/>
  <c r="H219" i="2" s="1"/>
  <c r="V52" i="5"/>
  <c r="S51" i="5"/>
  <c r="V54" i="4"/>
  <c r="B56" i="2"/>
  <c r="H56" i="2"/>
  <c r="L101" i="2"/>
  <c r="I101" i="2" s="1"/>
  <c r="L94" i="2"/>
  <c r="I94" i="2" s="1"/>
  <c r="B219" i="2" l="1"/>
  <c r="D394" i="2" a="1"/>
  <c r="D394" i="2" s="1"/>
  <c r="O135" i="1" s="1"/>
  <c r="G395" i="2"/>
  <c r="F395" i="2" s="1"/>
  <c r="H396" i="2"/>
  <c r="C395" i="2"/>
  <c r="B396" i="2"/>
  <c r="V229" i="4"/>
  <c r="B275" i="2"/>
  <c r="S52" i="5"/>
  <c r="V53" i="5"/>
  <c r="V55" i="4"/>
  <c r="B57" i="2"/>
  <c r="H57" i="2"/>
  <c r="L105" i="2"/>
  <c r="I105" i="2" s="1"/>
  <c r="L98" i="2"/>
  <c r="I98" i="2" s="1"/>
  <c r="D395" i="2" l="1" a="1"/>
  <c r="D395" i="2" s="1"/>
  <c r="O136" i="1" s="1"/>
  <c r="C396" i="2"/>
  <c r="B397" i="2"/>
  <c r="H397" i="2"/>
  <c r="G396" i="2"/>
  <c r="F396" i="2" s="1"/>
  <c r="V230" i="4"/>
  <c r="B276" i="2"/>
  <c r="S53" i="5"/>
  <c r="V54" i="5"/>
  <c r="V56" i="4"/>
  <c r="B58" i="2"/>
  <c r="H58" i="2"/>
  <c r="L109" i="2"/>
  <c r="I109" i="2" s="1"/>
  <c r="L102" i="2"/>
  <c r="I102" i="2" s="1"/>
  <c r="H398" i="2" l="1"/>
  <c r="G397" i="2"/>
  <c r="F397" i="2" s="1"/>
  <c r="B398" i="2"/>
  <c r="C397" i="2"/>
  <c r="D396" i="2" a="1"/>
  <c r="D396" i="2" s="1"/>
  <c r="O137" i="1" s="1"/>
  <c r="V231" i="4"/>
  <c r="M247" i="2"/>
  <c r="N247" i="2" s="1" a="1"/>
  <c r="N247" i="2" s="1"/>
  <c r="M257" i="2"/>
  <c r="N257" i="2" s="1" a="1"/>
  <c r="N257" i="2" s="1"/>
  <c r="S54" i="5"/>
  <c r="V55" i="5"/>
  <c r="V57" i="4"/>
  <c r="B59" i="2"/>
  <c r="H59" i="2"/>
  <c r="L113" i="2"/>
  <c r="I113" i="2" s="1"/>
  <c r="E241" i="1" s="1"/>
  <c r="L106" i="2"/>
  <c r="I106" i="2" s="1"/>
  <c r="D397" i="2" l="1" a="1"/>
  <c r="D397" i="2" s="1"/>
  <c r="O138" i="1" s="1"/>
  <c r="B399" i="2"/>
  <c r="H399" i="2"/>
  <c r="G398" i="2"/>
  <c r="F398" i="2" s="1"/>
  <c r="C398" i="2" s="1"/>
  <c r="V232" i="4"/>
  <c r="M258" i="2"/>
  <c r="N258" i="2" s="1" a="1"/>
  <c r="N258" i="2" s="1"/>
  <c r="M233" i="2"/>
  <c r="N233" i="2" s="1" a="1"/>
  <c r="N233" i="2" s="1"/>
  <c r="M248" i="2"/>
  <c r="N248" i="2" s="1" a="1"/>
  <c r="N248" i="2" s="1"/>
  <c r="M244" i="2"/>
  <c r="N244" i="2" s="1" a="1"/>
  <c r="N244" i="2" s="1"/>
  <c r="M229" i="2"/>
  <c r="N229" i="2" s="1" a="1"/>
  <c r="N229" i="2" s="1"/>
  <c r="M227" i="2"/>
  <c r="N227" i="2" s="1" a="1"/>
  <c r="N227" i="2" s="1"/>
  <c r="M235" i="2"/>
  <c r="N235" i="2" s="1" a="1"/>
  <c r="N235" i="2" s="1"/>
  <c r="M253" i="2"/>
  <c r="N253" i="2" s="1" a="1"/>
  <c r="N253" i="2" s="1"/>
  <c r="M232" i="2"/>
  <c r="N232" i="2" s="1" a="1"/>
  <c r="N232" i="2" s="1"/>
  <c r="M241" i="2"/>
  <c r="N241" i="2" s="1" a="1"/>
  <c r="N241" i="2" s="1"/>
  <c r="M255" i="2"/>
  <c r="N255" i="2" s="1" a="1"/>
  <c r="N255" i="2" s="1"/>
  <c r="M242" i="2"/>
  <c r="N242" i="2" s="1" a="1"/>
  <c r="N242" i="2" s="1"/>
  <c r="M234" i="2"/>
  <c r="N234" i="2" s="1" a="1"/>
  <c r="N234" i="2" s="1"/>
  <c r="M252" i="2"/>
  <c r="N252" i="2" s="1" a="1"/>
  <c r="N252" i="2" s="1"/>
  <c r="M246" i="2"/>
  <c r="N246" i="2" s="1" a="1"/>
  <c r="N246" i="2" s="1"/>
  <c r="M266" i="2"/>
  <c r="N266" i="2" s="1" a="1"/>
  <c r="N266" i="2" s="1"/>
  <c r="M230" i="2"/>
  <c r="N230" i="2" s="1" a="1"/>
  <c r="N230" i="2" s="1"/>
  <c r="M254" i="2"/>
  <c r="N254" i="2" s="1" a="1"/>
  <c r="N254" i="2" s="1"/>
  <c r="M243" i="2"/>
  <c r="N243" i="2" s="1" a="1"/>
  <c r="N243" i="2" s="1"/>
  <c r="M239" i="2"/>
  <c r="N239" i="2" s="1" a="1"/>
  <c r="N239" i="2" s="1"/>
  <c r="M256" i="2"/>
  <c r="N256" i="2" s="1" a="1"/>
  <c r="N256" i="2" s="1"/>
  <c r="M251" i="2"/>
  <c r="N251" i="2" s="1" a="1"/>
  <c r="N251" i="2" s="1"/>
  <c r="M228" i="2"/>
  <c r="N228" i="2" s="1" a="1"/>
  <c r="N228" i="2" s="1"/>
  <c r="M237" i="2"/>
  <c r="N237" i="2" s="1" a="1"/>
  <c r="N237" i="2" s="1"/>
  <c r="M249" i="2"/>
  <c r="N249" i="2" s="1" a="1"/>
  <c r="N249" i="2" s="1"/>
  <c r="M250" i="2"/>
  <c r="N250" i="2" s="1" a="1"/>
  <c r="N250" i="2" s="1"/>
  <c r="M240" i="2"/>
  <c r="N240" i="2" s="1" a="1"/>
  <c r="N240" i="2" s="1"/>
  <c r="M245" i="2"/>
  <c r="N245" i="2" s="1" a="1"/>
  <c r="N245" i="2" s="1"/>
  <c r="M236" i="2"/>
  <c r="N236" i="2" s="1" a="1"/>
  <c r="N236" i="2" s="1"/>
  <c r="M226" i="2"/>
  <c r="N226" i="2" s="1" a="1"/>
  <c r="N226" i="2" s="1"/>
  <c r="M231" i="2"/>
  <c r="N231" i="2" s="1" a="1"/>
  <c r="N231" i="2" s="1"/>
  <c r="M238" i="2"/>
  <c r="N238" i="2" s="1" a="1"/>
  <c r="N238" i="2" s="1"/>
  <c r="S55" i="5"/>
  <c r="T54" i="5" s="1"/>
  <c r="V58" i="4"/>
  <c r="B60" i="2"/>
  <c r="H60" i="2"/>
  <c r="L110" i="2"/>
  <c r="I110" i="2" s="1"/>
  <c r="E238" i="1" s="1"/>
  <c r="H400" i="2" l="1"/>
  <c r="G399" i="2"/>
  <c r="F399" i="2" s="1"/>
  <c r="C399" i="2"/>
  <c r="B400" i="2"/>
  <c r="D398" i="2" a="1"/>
  <c r="D398" i="2" s="1"/>
  <c r="O139" i="1" s="1"/>
  <c r="V233" i="4"/>
  <c r="T51" i="5"/>
  <c r="T52" i="5"/>
  <c r="T55" i="5"/>
  <c r="T3" i="5"/>
  <c r="T4" i="5"/>
  <c r="T5" i="5"/>
  <c r="T7" i="5"/>
  <c r="T6" i="5"/>
  <c r="T8" i="5"/>
  <c r="T10" i="5"/>
  <c r="T9" i="5"/>
  <c r="T11" i="5"/>
  <c r="T12" i="5"/>
  <c r="T13" i="5"/>
  <c r="T14" i="5"/>
  <c r="T15" i="5"/>
  <c r="T18" i="5"/>
  <c r="T16" i="5"/>
  <c r="T17" i="5"/>
  <c r="T19" i="5"/>
  <c r="T21" i="5"/>
  <c r="T20" i="5"/>
  <c r="T22" i="5"/>
  <c r="T23" i="5"/>
  <c r="T24" i="5"/>
  <c r="T25" i="5"/>
  <c r="T29" i="5"/>
  <c r="T28" i="5"/>
  <c r="T26" i="5"/>
  <c r="T27" i="5"/>
  <c r="T30" i="5"/>
  <c r="T31" i="5"/>
  <c r="T32" i="5"/>
  <c r="T33" i="5"/>
  <c r="T35" i="5"/>
  <c r="T34" i="5"/>
  <c r="T37" i="5"/>
  <c r="T38" i="5"/>
  <c r="T36" i="5"/>
  <c r="T39" i="5"/>
  <c r="T41" i="5"/>
  <c r="T40" i="5"/>
  <c r="T42" i="5"/>
  <c r="T44" i="5"/>
  <c r="T45" i="5"/>
  <c r="T43" i="5"/>
  <c r="T46" i="5"/>
  <c r="T47" i="5"/>
  <c r="T49" i="5"/>
  <c r="T48" i="5"/>
  <c r="T53" i="5"/>
  <c r="T50" i="5"/>
  <c r="V59" i="4"/>
  <c r="B61" i="2"/>
  <c r="H61" i="2"/>
  <c r="L114" i="2"/>
  <c r="I114" i="2" s="1"/>
  <c r="E242" i="1" s="1"/>
  <c r="B401" i="2" l="1"/>
  <c r="D399" i="2" a="1"/>
  <c r="D399" i="2" s="1"/>
  <c r="O140" i="1" s="1"/>
  <c r="H401" i="2"/>
  <c r="G400" i="2"/>
  <c r="F400" i="2" s="1"/>
  <c r="C400" i="2" s="1"/>
  <c r="V234" i="4"/>
  <c r="U50" i="5"/>
  <c r="W50" i="5" s="1"/>
  <c r="U43" i="5"/>
  <c r="W43" i="5" s="1"/>
  <c r="U53" i="5"/>
  <c r="W53" i="5" s="1"/>
  <c r="U46" i="5"/>
  <c r="W46" i="5" s="1"/>
  <c r="U36" i="5"/>
  <c r="W36" i="5" s="1"/>
  <c r="U30" i="5"/>
  <c r="U22" i="5"/>
  <c r="U14" i="5"/>
  <c r="U7" i="5"/>
  <c r="U38" i="5"/>
  <c r="W38" i="5" s="1"/>
  <c r="U27" i="5"/>
  <c r="U20" i="5"/>
  <c r="U13" i="5"/>
  <c r="U5" i="5"/>
  <c r="U45" i="5"/>
  <c r="W45" i="5" s="1"/>
  <c r="U37" i="5"/>
  <c r="W37" i="5" s="1"/>
  <c r="U26" i="5"/>
  <c r="U21" i="5"/>
  <c r="U12" i="5"/>
  <c r="U4" i="5"/>
  <c r="U44" i="5"/>
  <c r="W44" i="5" s="1"/>
  <c r="U34" i="5"/>
  <c r="W34" i="5" s="1"/>
  <c r="U28" i="5"/>
  <c r="U19" i="5"/>
  <c r="U11" i="5"/>
  <c r="U3" i="5"/>
  <c r="U42" i="5"/>
  <c r="W42" i="5" s="1"/>
  <c r="U35" i="5"/>
  <c r="W35" i="5" s="1"/>
  <c r="U29" i="5"/>
  <c r="U17" i="5"/>
  <c r="U9" i="5"/>
  <c r="U55" i="5"/>
  <c r="W55" i="5" s="1"/>
  <c r="U40" i="5"/>
  <c r="W40" i="5" s="1"/>
  <c r="U33" i="5"/>
  <c r="W33" i="5" s="1"/>
  <c r="U25" i="5"/>
  <c r="U16" i="5"/>
  <c r="U10" i="5"/>
  <c r="U52" i="5"/>
  <c r="W52" i="5" s="1"/>
  <c r="U48" i="5"/>
  <c r="W48" i="5" s="1"/>
  <c r="U41" i="5"/>
  <c r="W41" i="5" s="1"/>
  <c r="U32" i="5"/>
  <c r="W32" i="5" s="1"/>
  <c r="U24" i="5"/>
  <c r="U18" i="5"/>
  <c r="U8" i="5"/>
  <c r="U51" i="5"/>
  <c r="W51" i="5" s="1"/>
  <c r="U49" i="5"/>
  <c r="W49" i="5" s="1"/>
  <c r="U47" i="5"/>
  <c r="W47" i="5" s="1"/>
  <c r="U39" i="5"/>
  <c r="W39" i="5" s="1"/>
  <c r="U31" i="5"/>
  <c r="W31" i="5" s="1"/>
  <c r="U23" i="5"/>
  <c r="U15" i="5"/>
  <c r="U6" i="5"/>
  <c r="U54" i="5"/>
  <c r="W54" i="5" s="1"/>
  <c r="V60" i="4"/>
  <c r="B62" i="2"/>
  <c r="H62" i="2"/>
  <c r="M221" i="2" l="1"/>
  <c r="M220" i="2"/>
  <c r="H402" i="2"/>
  <c r="G401" i="2"/>
  <c r="F401" i="2" s="1"/>
  <c r="C401" i="2" s="1"/>
  <c r="B402" i="2"/>
  <c r="D400" i="2" a="1"/>
  <c r="D400" i="2" s="1"/>
  <c r="O141" i="1" s="1"/>
  <c r="V235" i="4"/>
  <c r="M168" i="2"/>
  <c r="N168" i="2" s="1" a="1"/>
  <c r="N168" i="2" s="1"/>
  <c r="M169" i="2"/>
  <c r="N169" i="2" s="1" a="1"/>
  <c r="N169" i="2" s="1"/>
  <c r="M170" i="2"/>
  <c r="N170" i="2" s="1" a="1"/>
  <c r="N170" i="2" s="1"/>
  <c r="M171" i="2"/>
  <c r="N171" i="2" s="1" a="1"/>
  <c r="N171" i="2" s="1"/>
  <c r="M173" i="2"/>
  <c r="N173" i="2" s="1" a="1"/>
  <c r="N173" i="2" s="1"/>
  <c r="M172" i="2"/>
  <c r="N172" i="2" s="1" a="1"/>
  <c r="N172" i="2" s="1"/>
  <c r="M174" i="2"/>
  <c r="N174" i="2" s="1" a="1"/>
  <c r="N174" i="2" s="1"/>
  <c r="M175" i="2"/>
  <c r="N175" i="2" s="1" a="1"/>
  <c r="N175" i="2" s="1"/>
  <c r="M176" i="2"/>
  <c r="N176" i="2" s="1" a="1"/>
  <c r="N176" i="2" s="1"/>
  <c r="M177" i="2"/>
  <c r="N177" i="2" s="1" a="1"/>
  <c r="N177" i="2" s="1"/>
  <c r="M178" i="2"/>
  <c r="N178" i="2" s="1" a="1"/>
  <c r="N178" i="2" s="1"/>
  <c r="M179" i="2"/>
  <c r="N179" i="2" s="1" a="1"/>
  <c r="N179" i="2" s="1"/>
  <c r="M180" i="2"/>
  <c r="N180" i="2" s="1" a="1"/>
  <c r="N180" i="2" s="1"/>
  <c r="M181" i="2"/>
  <c r="N181" i="2" s="1" a="1"/>
  <c r="N181" i="2" s="1"/>
  <c r="M182" i="2"/>
  <c r="N182" i="2" s="1" a="1"/>
  <c r="N182" i="2" s="1"/>
  <c r="M183" i="2"/>
  <c r="N183" i="2" s="1" a="1"/>
  <c r="N183" i="2" s="1"/>
  <c r="M184" i="2"/>
  <c r="N184" i="2" s="1" a="1"/>
  <c r="N184" i="2" s="1"/>
  <c r="M185" i="2"/>
  <c r="N185" i="2" s="1" a="1"/>
  <c r="N185" i="2" s="1"/>
  <c r="M186" i="2"/>
  <c r="N186" i="2" s="1" a="1"/>
  <c r="N186" i="2" s="1"/>
  <c r="M187" i="2"/>
  <c r="N187" i="2" s="1" a="1"/>
  <c r="N187" i="2" s="1"/>
  <c r="M188" i="2"/>
  <c r="N188" i="2" s="1" a="1"/>
  <c r="N188" i="2" s="1"/>
  <c r="M189" i="2"/>
  <c r="N189" i="2" s="1" a="1"/>
  <c r="N189" i="2" s="1"/>
  <c r="M190" i="2"/>
  <c r="N190" i="2" s="1" a="1"/>
  <c r="N190" i="2" s="1"/>
  <c r="M191" i="2"/>
  <c r="N191" i="2" s="1" a="1"/>
  <c r="N191" i="2" s="1"/>
  <c r="M219" i="2"/>
  <c r="M192" i="2"/>
  <c r="N192" i="2" s="1" a="1"/>
  <c r="N192" i="2" s="1"/>
  <c r="M193" i="2"/>
  <c r="N193" i="2" s="1" a="1"/>
  <c r="N193" i="2" s="1"/>
  <c r="M194" i="2"/>
  <c r="N194" i="2" s="1" a="1"/>
  <c r="N194" i="2" s="1"/>
  <c r="M195" i="2"/>
  <c r="N195" i="2" s="1" a="1"/>
  <c r="N195" i="2" s="1"/>
  <c r="M196" i="2"/>
  <c r="N196" i="2" s="1" a="1"/>
  <c r="N196" i="2" s="1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V61" i="4"/>
  <c r="B63" i="2"/>
  <c r="H63" i="2"/>
  <c r="N214" i="2" l="1" a="1"/>
  <c r="N214" i="2" s="1"/>
  <c r="K214" i="2" a="1"/>
  <c r="K214" i="2" s="1"/>
  <c r="L214" i="2" a="1"/>
  <c r="L214" i="2" s="1"/>
  <c r="I214" i="2" s="1"/>
  <c r="N206" i="2" a="1"/>
  <c r="N206" i="2" s="1"/>
  <c r="K206" i="2" a="1"/>
  <c r="K206" i="2" s="1"/>
  <c r="L206" i="2" a="1"/>
  <c r="L206" i="2" s="1"/>
  <c r="N198" i="2" a="1"/>
  <c r="N198" i="2" s="1"/>
  <c r="K198" i="2" a="1"/>
  <c r="K198" i="2" s="1"/>
  <c r="L198" i="2" a="1"/>
  <c r="L198" i="2" s="1"/>
  <c r="N197" i="2" a="1"/>
  <c r="N197" i="2" s="1"/>
  <c r="K197" i="2" a="1"/>
  <c r="K197" i="2" s="1"/>
  <c r="L197" i="2" a="1"/>
  <c r="L197" i="2" s="1"/>
  <c r="N215" i="2" a="1"/>
  <c r="N215" i="2" s="1"/>
  <c r="L215" i="2" a="1"/>
  <c r="L215" i="2" s="1"/>
  <c r="K215" i="2" a="1"/>
  <c r="K215" i="2" s="1"/>
  <c r="N207" i="2" a="1"/>
  <c r="N207" i="2" s="1"/>
  <c r="K207" i="2" a="1"/>
  <c r="K207" i="2" s="1"/>
  <c r="L207" i="2" a="1"/>
  <c r="L207" i="2" s="1"/>
  <c r="N213" i="2" a="1"/>
  <c r="N213" i="2" s="1"/>
  <c r="K213" i="2" a="1"/>
  <c r="K213" i="2" s="1"/>
  <c r="L213" i="2" a="1"/>
  <c r="L213" i="2" s="1"/>
  <c r="N204" i="2" a="1"/>
  <c r="N204" i="2" s="1"/>
  <c r="K204" i="2" a="1"/>
  <c r="K204" i="2" s="1"/>
  <c r="L204" i="2" a="1"/>
  <c r="L204" i="2" s="1"/>
  <c r="I204" i="2" s="1"/>
  <c r="N203" i="2" a="1"/>
  <c r="N203" i="2" s="1"/>
  <c r="K203" i="2" a="1"/>
  <c r="K203" i="2" s="1"/>
  <c r="L203" i="2" a="1"/>
  <c r="L203" i="2" s="1"/>
  <c r="N219" i="2" a="1"/>
  <c r="N219" i="2" s="1"/>
  <c r="K219" i="2" a="1"/>
  <c r="K219" i="2" s="1"/>
  <c r="L219" i="2" a="1"/>
  <c r="L219" i="2" s="1"/>
  <c r="N212" i="2" a="1"/>
  <c r="N212" i="2" s="1"/>
  <c r="K212" i="2" a="1"/>
  <c r="K212" i="2" s="1"/>
  <c r="L212" i="2" a="1"/>
  <c r="L212" i="2" s="1"/>
  <c r="N211" i="2" a="1"/>
  <c r="N211" i="2" s="1"/>
  <c r="K211" i="2" a="1"/>
  <c r="K211" i="2" s="1"/>
  <c r="L211" i="2" a="1"/>
  <c r="L211" i="2" s="1"/>
  <c r="N218" i="2" a="1"/>
  <c r="N218" i="2" s="1"/>
  <c r="K218" i="2" a="1"/>
  <c r="K218" i="2" s="1"/>
  <c r="L218" i="2" a="1"/>
  <c r="L218" i="2" s="1"/>
  <c r="N210" i="2" a="1"/>
  <c r="N210" i="2" s="1"/>
  <c r="K210" i="2" a="1"/>
  <c r="K210" i="2" s="1"/>
  <c r="L210" i="2" a="1"/>
  <c r="L210" i="2" s="1"/>
  <c r="N202" i="2" a="1"/>
  <c r="N202" i="2" s="1"/>
  <c r="L202" i="2" a="1"/>
  <c r="L202" i="2" s="1"/>
  <c r="K202" i="2" a="1"/>
  <c r="K202" i="2" s="1"/>
  <c r="N199" i="2" a="1"/>
  <c r="N199" i="2" s="1"/>
  <c r="L199" i="2" a="1"/>
  <c r="L199" i="2" s="1"/>
  <c r="K199" i="2" a="1"/>
  <c r="K199" i="2" s="1"/>
  <c r="N205" i="2" a="1"/>
  <c r="N205" i="2" s="1"/>
  <c r="K205" i="2" a="1"/>
  <c r="K205" i="2" s="1"/>
  <c r="L205" i="2" a="1"/>
  <c r="L205" i="2" s="1"/>
  <c r="N209" i="2" a="1"/>
  <c r="N209" i="2" s="1"/>
  <c r="L209" i="2" a="1"/>
  <c r="L209" i="2" s="1"/>
  <c r="K209" i="2" a="1"/>
  <c r="K209" i="2" s="1"/>
  <c r="N201" i="2" a="1"/>
  <c r="N201" i="2" s="1"/>
  <c r="K201" i="2" a="1"/>
  <c r="K201" i="2" s="1"/>
  <c r="L201" i="2" a="1"/>
  <c r="L201" i="2" s="1"/>
  <c r="N220" i="2" a="1"/>
  <c r="N220" i="2" s="1"/>
  <c r="K220" i="2" a="1"/>
  <c r="K220" i="2" s="1"/>
  <c r="I220" i="2" s="1"/>
  <c r="L220" i="2" a="1"/>
  <c r="L220" i="2" s="1"/>
  <c r="N217" i="2" a="1"/>
  <c r="N217" i="2" s="1"/>
  <c r="K217" i="2" a="1"/>
  <c r="K217" i="2" s="1"/>
  <c r="L217" i="2" a="1"/>
  <c r="L217" i="2" s="1"/>
  <c r="N216" i="2" a="1"/>
  <c r="N216" i="2" s="1"/>
  <c r="L216" i="2" a="1"/>
  <c r="L216" i="2" s="1"/>
  <c r="K216" i="2" a="1"/>
  <c r="K216" i="2" s="1"/>
  <c r="N208" i="2" a="1"/>
  <c r="N208" i="2" s="1"/>
  <c r="L208" i="2" a="1"/>
  <c r="L208" i="2" s="1"/>
  <c r="K208" i="2" a="1"/>
  <c r="K208" i="2" s="1"/>
  <c r="N200" i="2" a="1"/>
  <c r="N200" i="2" s="1"/>
  <c r="L200" i="2" a="1"/>
  <c r="L200" i="2" s="1"/>
  <c r="K200" i="2" a="1"/>
  <c r="K200" i="2" s="1"/>
  <c r="N221" i="2" a="1"/>
  <c r="N221" i="2" s="1"/>
  <c r="L221" i="2" a="1"/>
  <c r="L221" i="2" s="1"/>
  <c r="K221" i="2" a="1"/>
  <c r="K221" i="2" s="1"/>
  <c r="I221" i="2" s="1"/>
  <c r="B403" i="2"/>
  <c r="D401" i="2" a="1"/>
  <c r="D401" i="2" s="1"/>
  <c r="O142" i="1" s="1"/>
  <c r="H403" i="2"/>
  <c r="G402" i="2"/>
  <c r="F402" i="2" s="1"/>
  <c r="C402" i="2" s="1"/>
  <c r="V236" i="4"/>
  <c r="V62" i="4"/>
  <c r="B64" i="2"/>
  <c r="H64" i="2"/>
  <c r="I217" i="2" l="1"/>
  <c r="I205" i="2"/>
  <c r="I203" i="2"/>
  <c r="I218" i="2"/>
  <c r="I209" i="2"/>
  <c r="I213" i="2"/>
  <c r="I216" i="2"/>
  <c r="I200" i="2"/>
  <c r="I199" i="2"/>
  <c r="I219" i="2"/>
  <c r="I215" i="2"/>
  <c r="I206" i="2"/>
  <c r="I208" i="2"/>
  <c r="I202" i="2"/>
  <c r="I211" i="2"/>
  <c r="I197" i="2"/>
  <c r="I210" i="2"/>
  <c r="I207" i="2"/>
  <c r="I201" i="2"/>
  <c r="I212" i="2"/>
  <c r="I198" i="2"/>
  <c r="H404" i="2"/>
  <c r="G403" i="2"/>
  <c r="F403" i="2" s="1"/>
  <c r="C403" i="2"/>
  <c r="B404" i="2"/>
  <c r="D402" i="2" a="1"/>
  <c r="D402" i="2" s="1"/>
  <c r="O143" i="1" s="1"/>
  <c r="V237" i="4"/>
  <c r="V63" i="4"/>
  <c r="B65" i="2"/>
  <c r="H65" i="2"/>
  <c r="D403" i="2" l="1" a="1"/>
  <c r="D403" i="2" s="1"/>
  <c r="O144" i="1" s="1"/>
  <c r="H405" i="2"/>
  <c r="G404" i="2"/>
  <c r="F404" i="2" s="1"/>
  <c r="C404" i="2"/>
  <c r="B405" i="2"/>
  <c r="V238" i="4"/>
  <c r="V64" i="4"/>
  <c r="B66" i="2"/>
  <c r="H66" i="2"/>
  <c r="D404" i="2" l="1" a="1"/>
  <c r="D404" i="2" s="1"/>
  <c r="O145" i="1" s="1"/>
  <c r="H406" i="2"/>
  <c r="G405" i="2"/>
  <c r="F405" i="2" s="1"/>
  <c r="B406" i="2"/>
  <c r="C405" i="2"/>
  <c r="V239" i="4"/>
  <c r="V65" i="4"/>
  <c r="B67" i="2"/>
  <c r="H67" i="2"/>
  <c r="D405" i="2" l="1" a="1"/>
  <c r="D405" i="2" s="1"/>
  <c r="O146" i="1" s="1"/>
  <c r="B407" i="2"/>
  <c r="H407" i="2"/>
  <c r="G406" i="2"/>
  <c r="F406" i="2" s="1"/>
  <c r="V240" i="4"/>
  <c r="V66" i="4"/>
  <c r="B68" i="2"/>
  <c r="H68" i="2"/>
  <c r="H408" i="2" l="1"/>
  <c r="G407" i="2"/>
  <c r="F407" i="2" s="1"/>
  <c r="B408" i="2"/>
  <c r="V241" i="4"/>
  <c r="V67" i="4"/>
  <c r="B69" i="2"/>
  <c r="H69" i="2"/>
  <c r="H409" i="2" l="1"/>
  <c r="G408" i="2"/>
  <c r="F408" i="2" s="1"/>
  <c r="B409" i="2"/>
  <c r="V242" i="4"/>
  <c r="V68" i="4"/>
  <c r="B70" i="2"/>
  <c r="H70" i="2"/>
  <c r="B410" i="2" l="1"/>
  <c r="H410" i="2"/>
  <c r="G409" i="2"/>
  <c r="F409" i="2" s="1"/>
  <c r="V243" i="4"/>
  <c r="V69" i="4"/>
  <c r="B71" i="2"/>
  <c r="H71" i="2"/>
  <c r="H411" i="2" l="1"/>
  <c r="G410" i="2"/>
  <c r="F410" i="2" s="1"/>
  <c r="B411" i="2"/>
  <c r="V244" i="4"/>
  <c r="V70" i="4"/>
  <c r="B72" i="2"/>
  <c r="H72" i="2"/>
  <c r="H412" i="2" l="1"/>
  <c r="G411" i="2"/>
  <c r="F411" i="2" s="1"/>
  <c r="B412" i="2"/>
  <c r="V245" i="4"/>
  <c r="V71" i="4"/>
  <c r="B73" i="2"/>
  <c r="H73" i="2"/>
  <c r="H413" i="2" l="1"/>
  <c r="G412" i="2"/>
  <c r="F412" i="2" s="1"/>
  <c r="B413" i="2"/>
  <c r="V246" i="4"/>
  <c r="V72" i="4"/>
  <c r="B74" i="2"/>
  <c r="H74" i="2"/>
  <c r="B414" i="2" l="1"/>
  <c r="G413" i="2"/>
  <c r="F413" i="2" s="1"/>
  <c r="H414" i="2"/>
  <c r="V247" i="4"/>
  <c r="V73" i="4"/>
  <c r="B75" i="2"/>
  <c r="H75" i="2"/>
  <c r="B415" i="2" l="1"/>
  <c r="H415" i="2"/>
  <c r="G414" i="2"/>
  <c r="F414" i="2" s="1"/>
  <c r="V248" i="4"/>
  <c r="V74" i="4"/>
  <c r="B76" i="2"/>
  <c r="H76" i="2"/>
  <c r="G415" i="2" l="1"/>
  <c r="F415" i="2" s="1"/>
  <c r="H416" i="2"/>
  <c r="B416" i="2"/>
  <c r="V249" i="4"/>
  <c r="V75" i="4"/>
  <c r="B77" i="2"/>
  <c r="H77" i="2"/>
  <c r="G416" i="2" l="1"/>
  <c r="F416" i="2" s="1"/>
  <c r="H417" i="2"/>
  <c r="B417" i="2"/>
  <c r="V250" i="4"/>
  <c r="V76" i="4"/>
  <c r="B78" i="2"/>
  <c r="H78" i="2"/>
  <c r="H418" i="2" l="1"/>
  <c r="G417" i="2"/>
  <c r="F417" i="2" s="1"/>
  <c r="B418" i="2"/>
  <c r="V251" i="4"/>
  <c r="V77" i="4"/>
  <c r="B79" i="2"/>
  <c r="H79" i="2"/>
  <c r="B419" i="2" l="1"/>
  <c r="G418" i="2"/>
  <c r="F418" i="2" s="1"/>
  <c r="H419" i="2"/>
  <c r="V252" i="4"/>
  <c r="V78" i="4"/>
  <c r="B80" i="2"/>
  <c r="H80" i="2"/>
  <c r="B420" i="2" l="1"/>
  <c r="G419" i="2"/>
  <c r="F419" i="2" s="1"/>
  <c r="H420" i="2"/>
  <c r="V253" i="4"/>
  <c r="V79" i="4"/>
  <c r="B81" i="2"/>
  <c r="H81" i="2"/>
  <c r="B421" i="2" l="1"/>
  <c r="H421" i="2"/>
  <c r="G420" i="2"/>
  <c r="F420" i="2" s="1"/>
  <c r="V254" i="4"/>
  <c r="V80" i="4"/>
  <c r="V81" i="4" s="1"/>
  <c r="B82" i="2"/>
  <c r="H82" i="2"/>
  <c r="C412" i="2" l="1"/>
  <c r="G421" i="2"/>
  <c r="F421" i="2" s="1"/>
  <c r="H422" i="2"/>
  <c r="B422" i="2"/>
  <c r="V255" i="4"/>
  <c r="V82" i="4"/>
  <c r="B83" i="2"/>
  <c r="H83" i="2"/>
  <c r="C413" i="2" l="1"/>
  <c r="D412" i="2" a="1"/>
  <c r="D412" i="2" s="1"/>
  <c r="O153" i="1" s="1"/>
  <c r="G422" i="2"/>
  <c r="F422" i="2" s="1"/>
  <c r="H423" i="2"/>
  <c r="B423" i="2"/>
  <c r="V256" i="4"/>
  <c r="V83" i="4"/>
  <c r="B84" i="2"/>
  <c r="H84" i="2"/>
  <c r="C414" i="2" l="1"/>
  <c r="D413" i="2" a="1"/>
  <c r="D413" i="2" s="1"/>
  <c r="O154" i="1" s="1"/>
  <c r="H424" i="2"/>
  <c r="G423" i="2"/>
  <c r="F423" i="2" s="1"/>
  <c r="B424" i="2"/>
  <c r="V257" i="4"/>
  <c r="V84" i="4"/>
  <c r="B85" i="2"/>
  <c r="H85" i="2"/>
  <c r="D414" i="2" l="1" a="1"/>
  <c r="D414" i="2" s="1"/>
  <c r="O155" i="1" s="1"/>
  <c r="G424" i="2"/>
  <c r="F424" i="2" s="1"/>
  <c r="H425" i="2"/>
  <c r="B425" i="2"/>
  <c r="V258" i="4"/>
  <c r="V85" i="4"/>
  <c r="B86" i="2"/>
  <c r="H86" i="2"/>
  <c r="G425" i="2" l="1"/>
  <c r="F425" i="2" s="1"/>
  <c r="H426" i="2"/>
  <c r="B426" i="2"/>
  <c r="V259" i="4"/>
  <c r="V86" i="4"/>
  <c r="B87" i="2"/>
  <c r="H87" i="2"/>
  <c r="C417" i="2" l="1"/>
  <c r="G426" i="2"/>
  <c r="F426" i="2" s="1"/>
  <c r="H427" i="2"/>
  <c r="B427" i="2"/>
  <c r="V260" i="4"/>
  <c r="V87" i="4"/>
  <c r="B88" i="2"/>
  <c r="H88" i="2"/>
  <c r="D417" i="2" l="1" a="1"/>
  <c r="D417" i="2" s="1"/>
  <c r="O158" i="1" s="1"/>
  <c r="C418" i="2"/>
  <c r="B428" i="2"/>
  <c r="H428" i="2"/>
  <c r="G427" i="2"/>
  <c r="F427" i="2" s="1"/>
  <c r="V261" i="4"/>
  <c r="V88" i="4"/>
  <c r="B89" i="2"/>
  <c r="H89" i="2"/>
  <c r="D418" i="2" l="1" a="1"/>
  <c r="D418" i="2" s="1"/>
  <c r="O159" i="1" s="1"/>
  <c r="B429" i="2"/>
  <c r="H429" i="2"/>
  <c r="G428" i="2"/>
  <c r="F428" i="2" s="1"/>
  <c r="C420" i="2" s="1"/>
  <c r="V262" i="4"/>
  <c r="V89" i="4"/>
  <c r="B90" i="2"/>
  <c r="H90" i="2"/>
  <c r="D420" i="2" l="1" a="1"/>
  <c r="D420" i="2" s="1"/>
  <c r="O161" i="1" s="1"/>
  <c r="G429" i="2"/>
  <c r="F429" i="2" s="1"/>
  <c r="H430" i="2"/>
  <c r="B430" i="2"/>
  <c r="V263" i="4"/>
  <c r="V90" i="4"/>
  <c r="B91" i="2"/>
  <c r="H91" i="2"/>
  <c r="C421" i="2" l="1"/>
  <c r="B431" i="2"/>
  <c r="H431" i="2"/>
  <c r="G430" i="2"/>
  <c r="F430" i="2" s="1"/>
  <c r="V264" i="4"/>
  <c r="V91" i="4"/>
  <c r="B92" i="2"/>
  <c r="H92" i="2"/>
  <c r="C422" i="2" l="1"/>
  <c r="D421" i="2" a="1"/>
  <c r="D421" i="2" s="1"/>
  <c r="O162" i="1" s="1"/>
  <c r="G431" i="2"/>
  <c r="F431" i="2" s="1"/>
  <c r="H432" i="2"/>
  <c r="B432" i="2"/>
  <c r="V265" i="4"/>
  <c r="V92" i="4"/>
  <c r="B93" i="2"/>
  <c r="H93" i="2"/>
  <c r="C423" i="2" l="1"/>
  <c r="D422" i="2" a="1"/>
  <c r="D422" i="2" s="1"/>
  <c r="O163" i="1" s="1"/>
  <c r="G432" i="2"/>
  <c r="F432" i="2" s="1"/>
  <c r="C424" i="2" s="1"/>
  <c r="H433" i="2"/>
  <c r="B433" i="2"/>
  <c r="V266" i="4"/>
  <c r="V93" i="4"/>
  <c r="B94" i="2"/>
  <c r="H94" i="2"/>
  <c r="D423" i="2" l="1" a="1"/>
  <c r="D423" i="2" s="1"/>
  <c r="O164" i="1" s="1"/>
  <c r="D424" i="2" a="1"/>
  <c r="D424" i="2" s="1"/>
  <c r="C425" i="2"/>
  <c r="G433" i="2"/>
  <c r="F433" i="2" s="1"/>
  <c r="H434" i="2"/>
  <c r="B434" i="2"/>
  <c r="V267" i="4"/>
  <c r="V94" i="4"/>
  <c r="B95" i="2"/>
  <c r="H95" i="2"/>
  <c r="R203" i="1" l="1"/>
  <c r="R221" i="1" s="1"/>
  <c r="D425" i="2" a="1"/>
  <c r="D425" i="2" s="1"/>
  <c r="H435" i="2"/>
  <c r="G434" i="2"/>
  <c r="F434" i="2" s="1"/>
  <c r="B435" i="2"/>
  <c r="V268" i="4"/>
  <c r="V95" i="4"/>
  <c r="B96" i="2"/>
  <c r="H96" i="2"/>
  <c r="R204" i="1" l="1"/>
  <c r="R222" i="1" s="1"/>
  <c r="G435" i="2"/>
  <c r="F435" i="2" s="1"/>
  <c r="H436" i="2"/>
  <c r="B436" i="2"/>
  <c r="V269" i="4"/>
  <c r="V96" i="4"/>
  <c r="B97" i="2"/>
  <c r="H97" i="2"/>
  <c r="C427" i="2" l="1"/>
  <c r="B437" i="2"/>
  <c r="G436" i="2"/>
  <c r="F436" i="2" s="1"/>
  <c r="H437" i="2"/>
  <c r="V270" i="4"/>
  <c r="V97" i="4"/>
  <c r="B98" i="2"/>
  <c r="H98" i="2"/>
  <c r="C428" i="2" l="1"/>
  <c r="D427" i="2" a="1"/>
  <c r="D427" i="2" s="1"/>
  <c r="B438" i="2"/>
  <c r="G437" i="2"/>
  <c r="F437" i="2" s="1"/>
  <c r="C429" i="2" s="1"/>
  <c r="H438" i="2"/>
  <c r="V271" i="4"/>
  <c r="V98" i="4"/>
  <c r="B99" i="2"/>
  <c r="H99" i="2"/>
  <c r="R206" i="1" l="1"/>
  <c r="R224" i="1" s="1"/>
  <c r="D429" i="2" a="1"/>
  <c r="D429" i="2" s="1"/>
  <c r="D428" i="2" a="1"/>
  <c r="D428" i="2" s="1"/>
  <c r="C430" i="2"/>
  <c r="B439" i="2"/>
  <c r="H439" i="2"/>
  <c r="G438" i="2"/>
  <c r="F438" i="2" s="1"/>
  <c r="V272" i="4"/>
  <c r="V99" i="4"/>
  <c r="B100" i="2"/>
  <c r="H100" i="2"/>
  <c r="R207" i="1" l="1"/>
  <c r="R225" i="1" s="1"/>
  <c r="R208" i="1"/>
  <c r="R226" i="1" s="1"/>
  <c r="D430" i="2" a="1"/>
  <c r="D430" i="2" s="1"/>
  <c r="G439" i="2"/>
  <c r="F439" i="2" s="1"/>
  <c r="H440" i="2"/>
  <c r="B440" i="2"/>
  <c r="V273" i="4"/>
  <c r="V100" i="4"/>
  <c r="B101" i="2"/>
  <c r="H101" i="2"/>
  <c r="R209" i="1" l="1"/>
  <c r="R227" i="1" s="1"/>
  <c r="G440" i="2"/>
  <c r="F440" i="2" s="1"/>
  <c r="H441" i="2"/>
  <c r="B441" i="2"/>
  <c r="V274" i="4"/>
  <c r="V101" i="4"/>
  <c r="B102" i="2"/>
  <c r="H102" i="2"/>
  <c r="C432" i="2" l="1"/>
  <c r="G441" i="2"/>
  <c r="F441" i="2" s="1"/>
  <c r="C433" i="2" s="1"/>
  <c r="H442" i="2"/>
  <c r="B442" i="2"/>
  <c r="V275" i="4"/>
  <c r="V102" i="4"/>
  <c r="B103" i="2"/>
  <c r="H103" i="2"/>
  <c r="D432" i="2" l="1" a="1"/>
  <c r="D432" i="2" s="1"/>
  <c r="D433" i="2" a="1"/>
  <c r="D433" i="2" s="1"/>
  <c r="H443" i="2"/>
  <c r="G442" i="2"/>
  <c r="F442" i="2" s="1"/>
  <c r="C434" i="2" s="1"/>
  <c r="B443" i="2"/>
  <c r="V276" i="4"/>
  <c r="V103" i="4"/>
  <c r="B104" i="2"/>
  <c r="H104" i="2"/>
  <c r="O212" i="1" l="1"/>
  <c r="O230" i="1" s="1"/>
  <c r="O211" i="1"/>
  <c r="O229" i="1" s="1"/>
  <c r="D434" i="2" a="1"/>
  <c r="D434" i="2" s="1"/>
  <c r="B444" i="2"/>
  <c r="G443" i="2"/>
  <c r="F443" i="2" s="1"/>
  <c r="H444" i="2"/>
  <c r="V277" i="4"/>
  <c r="V104" i="4"/>
  <c r="B105" i="2"/>
  <c r="H105" i="2"/>
  <c r="O213" i="1" l="1"/>
  <c r="O231" i="1" s="1"/>
  <c r="G444" i="2"/>
  <c r="F444" i="2" s="1"/>
  <c r="C436" i="2" s="1"/>
  <c r="H445" i="2"/>
  <c r="B445" i="2"/>
  <c r="V278" i="4"/>
  <c r="V105" i="4"/>
  <c r="B106" i="2"/>
  <c r="H106" i="2"/>
  <c r="D436" i="2" l="1" a="1"/>
  <c r="D436" i="2" s="1"/>
  <c r="G445" i="2"/>
  <c r="F445" i="2" s="1"/>
  <c r="H446" i="2"/>
  <c r="B446" i="2"/>
  <c r="V279" i="4"/>
  <c r="V106" i="4"/>
  <c r="B107" i="2"/>
  <c r="H107" i="2"/>
  <c r="O215" i="1" l="1"/>
  <c r="O233" i="1" s="1"/>
  <c r="H447" i="2"/>
  <c r="G446" i="2"/>
  <c r="F446" i="2" s="1"/>
  <c r="B447" i="2"/>
  <c r="V280" i="4"/>
  <c r="V107" i="4"/>
  <c r="B108" i="2"/>
  <c r="H108" i="2"/>
  <c r="B448" i="2" l="1"/>
  <c r="G447" i="2"/>
  <c r="F447" i="2" s="1"/>
  <c r="H448" i="2"/>
  <c r="V281" i="4"/>
  <c r="V108" i="4"/>
  <c r="B109" i="2"/>
  <c r="H109" i="2"/>
  <c r="B449" i="2" l="1"/>
  <c r="G448" i="2"/>
  <c r="F448" i="2" s="1"/>
  <c r="H449" i="2"/>
  <c r="V282" i="4"/>
  <c r="V109" i="4"/>
  <c r="B110" i="2"/>
  <c r="H110" i="2"/>
  <c r="B450" i="2" l="1"/>
  <c r="G449" i="2"/>
  <c r="F449" i="2" s="1"/>
  <c r="H450" i="2"/>
  <c r="V283" i="4"/>
  <c r="V110" i="4"/>
  <c r="B111" i="2"/>
  <c r="H111" i="2"/>
  <c r="C441" i="2" l="1"/>
  <c r="H451" i="2"/>
  <c r="G450" i="2"/>
  <c r="F450" i="2" s="1"/>
  <c r="B451" i="2"/>
  <c r="V284" i="4"/>
  <c r="V111" i="4"/>
  <c r="B112" i="2"/>
  <c r="H112" i="2"/>
  <c r="D441" i="2" l="1" a="1"/>
  <c r="D441" i="2" s="1"/>
  <c r="C442" i="2"/>
  <c r="B452" i="2"/>
  <c r="G451" i="2"/>
  <c r="F451" i="2" s="1"/>
  <c r="H452" i="2"/>
  <c r="V285" i="4"/>
  <c r="V112" i="4"/>
  <c r="B113" i="2"/>
  <c r="H113" i="2"/>
  <c r="D442" i="2" l="1" a="1"/>
  <c r="D442" i="2" s="1"/>
  <c r="C443" i="2"/>
  <c r="H453" i="2"/>
  <c r="G452" i="2"/>
  <c r="F452" i="2" s="1"/>
  <c r="B453" i="2"/>
  <c r="V286" i="4"/>
  <c r="V113" i="4"/>
  <c r="B114" i="2"/>
  <c r="H114" i="2"/>
  <c r="D443" i="2" l="1" a="1"/>
  <c r="D443" i="2" s="1"/>
  <c r="C444" i="2"/>
  <c r="H454" i="2"/>
  <c r="G453" i="2"/>
  <c r="F453" i="2" s="1"/>
  <c r="B454" i="2"/>
  <c r="V287" i="4"/>
  <c r="V114" i="4"/>
  <c r="B115" i="2"/>
  <c r="H115" i="2"/>
  <c r="D444" i="2" l="1" a="1"/>
  <c r="D444" i="2" s="1"/>
  <c r="G454" i="2"/>
  <c r="F454" i="2" s="1"/>
  <c r="H455" i="2"/>
  <c r="B455" i="2"/>
  <c r="V288" i="4"/>
  <c r="V115" i="4"/>
  <c r="B116" i="2"/>
  <c r="H116" i="2"/>
  <c r="C446" i="2" l="1"/>
  <c r="B456" i="2"/>
  <c r="G455" i="2"/>
  <c r="F455" i="2" s="1"/>
  <c r="C447" i="2" s="1"/>
  <c r="H456" i="2"/>
  <c r="V289" i="4"/>
  <c r="V116" i="4"/>
  <c r="B117" i="2"/>
  <c r="H117" i="2"/>
  <c r="D447" i="2" l="1" a="1"/>
  <c r="D447" i="2" s="1"/>
  <c r="D446" i="2" a="1"/>
  <c r="D446" i="2" s="1"/>
  <c r="H457" i="2"/>
  <c r="G456" i="2"/>
  <c r="F456" i="2" s="1"/>
  <c r="B457" i="2"/>
  <c r="V290" i="4"/>
  <c r="V117" i="4"/>
  <c r="B118" i="2"/>
  <c r="H118" i="2"/>
  <c r="C448" i="2" l="1"/>
  <c r="C449" i="2"/>
  <c r="B458" i="2"/>
  <c r="G457" i="2"/>
  <c r="F457" i="2" s="1"/>
  <c r="H458" i="2"/>
  <c r="V291" i="4"/>
  <c r="V118" i="4"/>
  <c r="B119" i="2"/>
  <c r="H119" i="2"/>
  <c r="D449" i="2" l="1" a="1"/>
  <c r="D449" i="2" s="1"/>
  <c r="D448" i="2" a="1"/>
  <c r="D448" i="2" s="1"/>
  <c r="B459" i="2"/>
  <c r="G458" i="2"/>
  <c r="F458" i="2" s="1"/>
  <c r="H459" i="2"/>
  <c r="V292" i="4"/>
  <c r="V119" i="4"/>
  <c r="B120" i="2"/>
  <c r="H120" i="2"/>
  <c r="C450" i="2" l="1"/>
  <c r="B460" i="2"/>
  <c r="G459" i="2"/>
  <c r="F459" i="2" s="1"/>
  <c r="H460" i="2"/>
  <c r="V293" i="4"/>
  <c r="V120" i="4"/>
  <c r="B121" i="2"/>
  <c r="H121" i="2"/>
  <c r="D450" i="2" l="1" a="1"/>
  <c r="D450" i="2" s="1"/>
  <c r="B461" i="2"/>
  <c r="G460" i="2"/>
  <c r="F460" i="2" s="1"/>
  <c r="C452" i="2" s="1"/>
  <c r="H461" i="2"/>
  <c r="V294" i="4"/>
  <c r="V121" i="4"/>
  <c r="B122" i="2"/>
  <c r="H122" i="2"/>
  <c r="D452" i="2" l="1" a="1"/>
  <c r="D452" i="2" s="1"/>
  <c r="B462" i="2"/>
  <c r="G461" i="2"/>
  <c r="F461" i="2" s="1"/>
  <c r="H462" i="2"/>
  <c r="V295" i="4"/>
  <c r="V122" i="4"/>
  <c r="B123" i="2"/>
  <c r="H123" i="2"/>
  <c r="C453" i="2" l="1"/>
  <c r="B463" i="2"/>
  <c r="G462" i="2"/>
  <c r="F462" i="2" s="1"/>
  <c r="C454" i="2" s="1"/>
  <c r="H463" i="2"/>
  <c r="V296" i="4"/>
  <c r="V123" i="4"/>
  <c r="B124" i="2"/>
  <c r="H124" i="2"/>
  <c r="D454" i="2" l="1" a="1"/>
  <c r="D454" i="2" s="1"/>
  <c r="D453" i="2" a="1"/>
  <c r="D453" i="2" s="1"/>
  <c r="G463" i="2"/>
  <c r="F463" i="2" s="1"/>
  <c r="H464" i="2"/>
  <c r="B464" i="2"/>
  <c r="V297" i="4"/>
  <c r="V124" i="4"/>
  <c r="B125" i="2"/>
  <c r="H125" i="2"/>
  <c r="C455" i="2" l="1"/>
  <c r="G464" i="2"/>
  <c r="F464" i="2" s="1"/>
  <c r="H465" i="2"/>
  <c r="B465" i="2"/>
  <c r="V298" i="4"/>
  <c r="V125" i="4"/>
  <c r="B126" i="2"/>
  <c r="H126" i="2"/>
  <c r="C456" i="2" l="1"/>
  <c r="D455" i="2" a="1"/>
  <c r="D455" i="2" s="1"/>
  <c r="G465" i="2"/>
  <c r="F465" i="2" s="1"/>
  <c r="H466" i="2"/>
  <c r="B466" i="2"/>
  <c r="V299" i="4"/>
  <c r="V126" i="4"/>
  <c r="B127" i="2"/>
  <c r="H127" i="2"/>
  <c r="D456" i="2" l="1" a="1"/>
  <c r="D456" i="2" s="1"/>
  <c r="G466" i="2"/>
  <c r="F466" i="2" s="1"/>
  <c r="H467" i="2"/>
  <c r="B467" i="2"/>
  <c r="V300" i="4"/>
  <c r="V127" i="4"/>
  <c r="B128" i="2"/>
  <c r="H128" i="2"/>
  <c r="C458" i="2" l="1"/>
  <c r="G467" i="2"/>
  <c r="C435" i="2"/>
  <c r="C438" i="2"/>
  <c r="C445" i="2"/>
  <c r="C451" i="2"/>
  <c r="C457" i="2"/>
  <c r="V301" i="4"/>
  <c r="V128" i="4"/>
  <c r="B129" i="2"/>
  <c r="H129" i="2"/>
  <c r="F467" i="2" l="1"/>
  <c r="C467" i="2" s="1"/>
  <c r="C406" i="2"/>
  <c r="C408" i="2"/>
  <c r="C407" i="2"/>
  <c r="C410" i="2"/>
  <c r="C409" i="2"/>
  <c r="C411" i="2"/>
  <c r="C415" i="2"/>
  <c r="C416" i="2"/>
  <c r="C419" i="2"/>
  <c r="C426" i="2"/>
  <c r="C431" i="2"/>
  <c r="C437" i="2"/>
  <c r="C439" i="2"/>
  <c r="C440" i="2"/>
  <c r="D458" i="2" a="1"/>
  <c r="D458" i="2" s="1"/>
  <c r="C466" i="2"/>
  <c r="D435" i="2" a="1"/>
  <c r="D435" i="2" s="1"/>
  <c r="D445" i="2" a="1"/>
  <c r="D445" i="2" s="1"/>
  <c r="D457" i="2" a="1"/>
  <c r="D457" i="2" s="1"/>
  <c r="D451" i="2" a="1"/>
  <c r="D451" i="2" s="1"/>
  <c r="D438" i="2" a="1"/>
  <c r="D438" i="2" s="1"/>
  <c r="V302" i="4"/>
  <c r="V129" i="4"/>
  <c r="B130" i="2"/>
  <c r="H130" i="2"/>
  <c r="O217" i="1" l="1"/>
  <c r="O235" i="1" s="1"/>
  <c r="O214" i="1"/>
  <c r="O232" i="1" s="1"/>
  <c r="C465" i="2"/>
  <c r="E465" i="2" s="1" a="1"/>
  <c r="E465" i="2" s="1"/>
  <c r="C464" i="2"/>
  <c r="D464" i="2" s="1" a="1"/>
  <c r="D464" i="2" s="1"/>
  <c r="D415" i="2" a="1"/>
  <c r="D415" i="2" s="1"/>
  <c r="O156" i="1" s="1"/>
  <c r="D440" i="2" a="1"/>
  <c r="D440" i="2" s="1"/>
  <c r="D411" i="2" a="1"/>
  <c r="D411" i="2" s="1"/>
  <c r="O152" i="1" s="1"/>
  <c r="D439" i="2" a="1"/>
  <c r="D439" i="2" s="1"/>
  <c r="D409" i="2" a="1"/>
  <c r="D409" i="2" s="1"/>
  <c r="O150" i="1" s="1"/>
  <c r="D437" i="2" a="1"/>
  <c r="D437" i="2" s="1"/>
  <c r="D410" i="2" a="1"/>
  <c r="D410" i="2" s="1"/>
  <c r="O151" i="1" s="1"/>
  <c r="D431" i="2" a="1"/>
  <c r="D431" i="2" s="1"/>
  <c r="D407" i="2" a="1"/>
  <c r="D407" i="2" s="1"/>
  <c r="O148" i="1" s="1"/>
  <c r="D426" i="2" a="1"/>
  <c r="D426" i="2" s="1"/>
  <c r="D408" i="2" a="1"/>
  <c r="D408" i="2" s="1"/>
  <c r="O149" i="1" s="1"/>
  <c r="D419" i="2" a="1"/>
  <c r="D419" i="2" s="1"/>
  <c r="O160" i="1" s="1"/>
  <c r="D406" i="2" a="1"/>
  <c r="D406" i="2" s="1"/>
  <c r="O147" i="1" s="1"/>
  <c r="D416" i="2" a="1"/>
  <c r="D416" i="2" s="1"/>
  <c r="O157" i="1" s="1"/>
  <c r="C460" i="2"/>
  <c r="C461" i="2"/>
  <c r="C459" i="2"/>
  <c r="C462" i="2"/>
  <c r="C463" i="2"/>
  <c r="E467" i="2" a="1"/>
  <c r="E467" i="2" s="1"/>
  <c r="D467" i="2" a="1"/>
  <c r="D467" i="2" s="1"/>
  <c r="E466" i="2" a="1"/>
  <c r="E466" i="2" s="1"/>
  <c r="D466" i="2" a="1"/>
  <c r="D466" i="2" s="1"/>
  <c r="V303" i="4"/>
  <c r="V130" i="4"/>
  <c r="B131" i="2"/>
  <c r="H131" i="2"/>
  <c r="R205" i="1" l="1"/>
  <c r="R223" i="1" s="1"/>
  <c r="R210" i="1"/>
  <c r="R228" i="1" s="1"/>
  <c r="O216" i="1"/>
  <c r="O234" i="1" s="1"/>
  <c r="O218" i="1"/>
  <c r="O236" i="1" s="1"/>
  <c r="D465" i="2" a="1"/>
  <c r="D465" i="2" s="1"/>
  <c r="D462" i="2" a="1"/>
  <c r="D462" i="2" s="1"/>
  <c r="D460" i="2" a="1"/>
  <c r="D460" i="2" s="1"/>
  <c r="D459" i="2" a="1"/>
  <c r="D459" i="2" s="1"/>
  <c r="D461" i="2" a="1"/>
  <c r="D461" i="2" s="1"/>
  <c r="D463" i="2" a="1"/>
  <c r="D463" i="2" s="1"/>
  <c r="V304" i="4"/>
  <c r="V131" i="4"/>
  <c r="B132" i="2"/>
  <c r="H132" i="2"/>
  <c r="V305" i="4" l="1"/>
  <c r="V132" i="4"/>
  <c r="B133" i="2"/>
  <c r="H133" i="2"/>
  <c r="V306" i="4" l="1"/>
  <c r="V133" i="4"/>
  <c r="B134" i="2"/>
  <c r="H134" i="2"/>
  <c r="V307" i="4" l="1"/>
  <c r="V134" i="4"/>
  <c r="B135" i="2"/>
  <c r="H135" i="2"/>
  <c r="V308" i="4" l="1"/>
  <c r="V135" i="4"/>
  <c r="B136" i="2"/>
  <c r="H136" i="2"/>
  <c r="V309" i="4" l="1"/>
  <c r="V136" i="4"/>
  <c r="B137" i="2"/>
  <c r="H137" i="2"/>
  <c r="V310" i="4" l="1"/>
  <c r="V137" i="4"/>
  <c r="B138" i="2"/>
  <c r="H138" i="2"/>
  <c r="V311" i="4" l="1"/>
  <c r="V138" i="4"/>
  <c r="B139" i="2"/>
  <c r="H139" i="2"/>
  <c r="V312" i="4" l="1"/>
  <c r="V139" i="4"/>
  <c r="B140" i="2"/>
  <c r="H140" i="2"/>
  <c r="V313" i="4" l="1"/>
  <c r="V140" i="4"/>
  <c r="B141" i="2"/>
  <c r="H141" i="2"/>
  <c r="V314" i="4" l="1"/>
  <c r="V141" i="4"/>
  <c r="B142" i="2"/>
  <c r="H142" i="2"/>
  <c r="V315" i="4" l="1"/>
  <c r="V142" i="4"/>
  <c r="B143" i="2"/>
  <c r="H143" i="2"/>
  <c r="V316" i="4" l="1"/>
  <c r="V143" i="4"/>
  <c r="B144" i="2"/>
  <c r="H144" i="2"/>
  <c r="V317" i="4" l="1"/>
  <c r="V144" i="4"/>
  <c r="B145" i="2"/>
  <c r="H145" i="2"/>
  <c r="V318" i="4" l="1"/>
  <c r="V145" i="4"/>
  <c r="B146" i="2"/>
  <c r="H146" i="2"/>
  <c r="V319" i="4" l="1"/>
  <c r="V146" i="4"/>
  <c r="B147" i="2"/>
  <c r="H147" i="2"/>
  <c r="V320" i="4" l="1"/>
  <c r="V147" i="4"/>
  <c r="B148" i="2"/>
  <c r="H148" i="2"/>
  <c r="V321" i="4" l="1"/>
  <c r="V148" i="4"/>
  <c r="B149" i="2"/>
  <c r="H149" i="2"/>
  <c r="V322" i="4" l="1"/>
  <c r="V149" i="4"/>
  <c r="B150" i="2"/>
  <c r="H150" i="2"/>
  <c r="V323" i="4" l="1"/>
  <c r="V150" i="4"/>
  <c r="B151" i="2"/>
  <c r="H151" i="2"/>
  <c r="V324" i="4" l="1"/>
  <c r="V151" i="4"/>
  <c r="B152" i="2"/>
  <c r="H152" i="2"/>
  <c r="V325" i="4" l="1"/>
  <c r="T323" i="4"/>
  <c r="T316" i="4"/>
  <c r="T322" i="4"/>
  <c r="V152" i="4"/>
  <c r="B153" i="2"/>
  <c r="H153" i="2"/>
  <c r="T324" i="4" l="1"/>
  <c r="T319" i="4"/>
  <c r="T318" i="4"/>
  <c r="T320" i="4"/>
  <c r="T321" i="4"/>
  <c r="T325" i="4"/>
  <c r="T177" i="4"/>
  <c r="T175" i="4"/>
  <c r="T174" i="4"/>
  <c r="T178" i="4"/>
  <c r="T176" i="4"/>
  <c r="T179" i="4"/>
  <c r="T180" i="4"/>
  <c r="T181" i="4"/>
  <c r="T182" i="4"/>
  <c r="T183" i="4"/>
  <c r="T184" i="4"/>
  <c r="T186" i="4"/>
  <c r="T185" i="4"/>
  <c r="T188" i="4"/>
  <c r="T187" i="4"/>
  <c r="T189" i="4"/>
  <c r="T191" i="4"/>
  <c r="T190" i="4"/>
  <c r="T193" i="4"/>
  <c r="T192" i="4"/>
  <c r="T194" i="4"/>
  <c r="T195" i="4"/>
  <c r="T197" i="4"/>
  <c r="T196" i="4"/>
  <c r="T198" i="4"/>
  <c r="T199" i="4"/>
  <c r="T200" i="4"/>
  <c r="T201" i="4"/>
  <c r="T202" i="4"/>
  <c r="T205" i="4"/>
  <c r="T203" i="4"/>
  <c r="T204" i="4"/>
  <c r="T206" i="4"/>
  <c r="T207" i="4"/>
  <c r="T209" i="4"/>
  <c r="T208" i="4"/>
  <c r="T211" i="4"/>
  <c r="T210" i="4"/>
  <c r="T213" i="4"/>
  <c r="T212" i="4"/>
  <c r="T216" i="4"/>
  <c r="T214" i="4"/>
  <c r="T215" i="4"/>
  <c r="T218" i="4"/>
  <c r="T220" i="4"/>
  <c r="T219" i="4"/>
  <c r="T217" i="4"/>
  <c r="T222" i="4"/>
  <c r="T221" i="4"/>
  <c r="T224" i="4"/>
  <c r="T223" i="4"/>
  <c r="T225" i="4"/>
  <c r="T226" i="4"/>
  <c r="T230" i="4"/>
  <c r="T228" i="4"/>
  <c r="T227" i="4"/>
  <c r="T233" i="4"/>
  <c r="T229" i="4"/>
  <c r="T231" i="4"/>
  <c r="T232" i="4"/>
  <c r="T235" i="4"/>
  <c r="T234" i="4"/>
  <c r="T237" i="4"/>
  <c r="T236" i="4"/>
  <c r="T239" i="4"/>
  <c r="T240" i="4"/>
  <c r="T238" i="4"/>
  <c r="T241" i="4"/>
  <c r="T242" i="4"/>
  <c r="T243" i="4"/>
  <c r="T244" i="4"/>
  <c r="T245" i="4"/>
  <c r="T247" i="4"/>
  <c r="T246" i="4"/>
  <c r="T250" i="4"/>
  <c r="T248" i="4"/>
  <c r="T252" i="4"/>
  <c r="T251" i="4"/>
  <c r="T249" i="4"/>
  <c r="T253" i="4"/>
  <c r="T254" i="4"/>
  <c r="T255" i="4"/>
  <c r="T257" i="4"/>
  <c r="T259" i="4"/>
  <c r="T258" i="4"/>
  <c r="T256" i="4"/>
  <c r="T260" i="4"/>
  <c r="T261" i="4"/>
  <c r="T262" i="4"/>
  <c r="T263" i="4"/>
  <c r="T264" i="4"/>
  <c r="T265" i="4"/>
  <c r="T267" i="4"/>
  <c r="T268" i="4"/>
  <c r="T266" i="4"/>
  <c r="T269" i="4"/>
  <c r="T270" i="4"/>
  <c r="T271" i="4"/>
  <c r="T273" i="4"/>
  <c r="T272" i="4"/>
  <c r="T274" i="4"/>
  <c r="T275" i="4"/>
  <c r="T276" i="4"/>
  <c r="T280" i="4"/>
  <c r="T277" i="4"/>
  <c r="T278" i="4"/>
  <c r="T279" i="4"/>
  <c r="T281" i="4"/>
  <c r="T283" i="4"/>
  <c r="T282" i="4"/>
  <c r="T284" i="4"/>
  <c r="T285" i="4"/>
  <c r="T286" i="4"/>
  <c r="T288" i="4"/>
  <c r="T287" i="4"/>
  <c r="T289" i="4"/>
  <c r="T290" i="4"/>
  <c r="T291" i="4"/>
  <c r="T293" i="4"/>
  <c r="T292" i="4"/>
  <c r="T294" i="4"/>
  <c r="T295" i="4"/>
  <c r="T296" i="4"/>
  <c r="T297" i="4"/>
  <c r="T299" i="4"/>
  <c r="T298" i="4"/>
  <c r="T300" i="4"/>
  <c r="T301" i="4"/>
  <c r="T302" i="4"/>
  <c r="T303" i="4"/>
  <c r="T304" i="4"/>
  <c r="T305" i="4"/>
  <c r="T306" i="4"/>
  <c r="T307" i="4"/>
  <c r="T308" i="4"/>
  <c r="T313" i="4"/>
  <c r="T309" i="4"/>
  <c r="T310" i="4"/>
  <c r="T311" i="4"/>
  <c r="T312" i="4"/>
  <c r="T317" i="4"/>
  <c r="T315" i="4"/>
  <c r="T314" i="4"/>
  <c r="V153" i="4"/>
  <c r="B154" i="2"/>
  <c r="H154" i="2"/>
  <c r="U276" i="4" l="1"/>
  <c r="W276" i="4" s="1"/>
  <c r="U314" i="4"/>
  <c r="W314" i="4" s="1"/>
  <c r="U260" i="4"/>
  <c r="W260" i="4" s="1"/>
  <c r="U213" i="4"/>
  <c r="W213" i="4" s="1"/>
  <c r="U315" i="4"/>
  <c r="W315" i="4" s="1"/>
  <c r="U307" i="4"/>
  <c r="W307" i="4" s="1"/>
  <c r="U298" i="4"/>
  <c r="W298" i="4" s="1"/>
  <c r="U291" i="4"/>
  <c r="W291" i="4" s="1"/>
  <c r="U282" i="4"/>
  <c r="W282" i="4" s="1"/>
  <c r="U275" i="4"/>
  <c r="W275" i="4" s="1"/>
  <c r="U268" i="4"/>
  <c r="W268" i="4" s="1"/>
  <c r="U256" i="4"/>
  <c r="W256" i="4" s="1"/>
  <c r="U251" i="4"/>
  <c r="W251" i="4" s="1"/>
  <c r="U243" i="4"/>
  <c r="W243" i="4" s="1"/>
  <c r="U234" i="4"/>
  <c r="W234" i="4" s="1"/>
  <c r="U230" i="4"/>
  <c r="W230" i="4" s="1"/>
  <c r="U219" i="4"/>
  <c r="W219" i="4" s="1"/>
  <c r="U210" i="4"/>
  <c r="W210" i="4" s="1"/>
  <c r="U205" i="4"/>
  <c r="W205" i="4" s="1"/>
  <c r="U195" i="4"/>
  <c r="W195" i="4" s="1"/>
  <c r="U188" i="4"/>
  <c r="W188" i="4" s="1"/>
  <c r="U179" i="4"/>
  <c r="U320" i="4"/>
  <c r="W320" i="4" s="1"/>
  <c r="U217" i="4"/>
  <c r="W217" i="4" s="1"/>
  <c r="U321" i="4"/>
  <c r="W321" i="4" s="1"/>
  <c r="U317" i="4"/>
  <c r="W317" i="4" s="1"/>
  <c r="U306" i="4"/>
  <c r="W306" i="4" s="1"/>
  <c r="U299" i="4"/>
  <c r="W299" i="4" s="1"/>
  <c r="U290" i="4"/>
  <c r="W290" i="4" s="1"/>
  <c r="U283" i="4"/>
  <c r="W283" i="4" s="1"/>
  <c r="U274" i="4"/>
  <c r="W274" i="4" s="1"/>
  <c r="U267" i="4"/>
  <c r="W267" i="4" s="1"/>
  <c r="U258" i="4"/>
  <c r="W258" i="4" s="1"/>
  <c r="U252" i="4"/>
  <c r="W252" i="4" s="1"/>
  <c r="U242" i="4"/>
  <c r="W242" i="4" s="1"/>
  <c r="U235" i="4"/>
  <c r="W235" i="4" s="1"/>
  <c r="U226" i="4"/>
  <c r="W226" i="4" s="1"/>
  <c r="U220" i="4"/>
  <c r="W220" i="4" s="1"/>
  <c r="U211" i="4"/>
  <c r="W211" i="4" s="1"/>
  <c r="U202" i="4"/>
  <c r="W202" i="4" s="1"/>
  <c r="U194" i="4"/>
  <c r="W194" i="4" s="1"/>
  <c r="U185" i="4"/>
  <c r="U176" i="4"/>
  <c r="U318" i="4"/>
  <c r="W318" i="4" s="1"/>
  <c r="U293" i="4"/>
  <c r="W293" i="4" s="1"/>
  <c r="U237" i="4"/>
  <c r="W237" i="4" s="1"/>
  <c r="U180" i="4"/>
  <c r="U312" i="4"/>
  <c r="W312" i="4" s="1"/>
  <c r="U305" i="4"/>
  <c r="W305" i="4" s="1"/>
  <c r="U297" i="4"/>
  <c r="W297" i="4" s="1"/>
  <c r="U289" i="4"/>
  <c r="W289" i="4" s="1"/>
  <c r="U281" i="4"/>
  <c r="W281" i="4" s="1"/>
  <c r="U272" i="4"/>
  <c r="W272" i="4" s="1"/>
  <c r="U265" i="4"/>
  <c r="W265" i="4" s="1"/>
  <c r="U259" i="4"/>
  <c r="W259" i="4" s="1"/>
  <c r="U248" i="4"/>
  <c r="W248" i="4" s="1"/>
  <c r="U241" i="4"/>
  <c r="W241" i="4" s="1"/>
  <c r="U232" i="4"/>
  <c r="W232" i="4" s="1"/>
  <c r="U225" i="4"/>
  <c r="W225" i="4" s="1"/>
  <c r="U218" i="4"/>
  <c r="W218" i="4" s="1"/>
  <c r="U208" i="4"/>
  <c r="W208" i="4" s="1"/>
  <c r="U201" i="4"/>
  <c r="W201" i="4" s="1"/>
  <c r="U192" i="4"/>
  <c r="W192" i="4" s="1"/>
  <c r="U186" i="4"/>
  <c r="W186" i="4" s="1"/>
  <c r="U178" i="4"/>
  <c r="U319" i="4"/>
  <c r="W319" i="4" s="1"/>
  <c r="U284" i="4"/>
  <c r="W284" i="4" s="1"/>
  <c r="U187" i="4"/>
  <c r="W187" i="4" s="1"/>
  <c r="U296" i="4"/>
  <c r="W296" i="4" s="1"/>
  <c r="U264" i="4"/>
  <c r="W264" i="4" s="1"/>
  <c r="U257" i="4"/>
  <c r="W257" i="4" s="1"/>
  <c r="U250" i="4"/>
  <c r="W250" i="4" s="1"/>
  <c r="U238" i="4"/>
  <c r="W238" i="4" s="1"/>
  <c r="U231" i="4"/>
  <c r="W231" i="4" s="1"/>
  <c r="U223" i="4"/>
  <c r="W223" i="4" s="1"/>
  <c r="U215" i="4"/>
  <c r="W215" i="4" s="1"/>
  <c r="U209" i="4"/>
  <c r="W209" i="4" s="1"/>
  <c r="U200" i="4"/>
  <c r="W200" i="4" s="1"/>
  <c r="U193" i="4"/>
  <c r="W193" i="4" s="1"/>
  <c r="U184" i="4"/>
  <c r="U174" i="4"/>
  <c r="U324" i="4"/>
  <c r="W324" i="4" s="1"/>
  <c r="U308" i="4"/>
  <c r="W308" i="4" s="1"/>
  <c r="U244" i="4"/>
  <c r="W244" i="4" s="1"/>
  <c r="U197" i="4"/>
  <c r="W197" i="4" s="1"/>
  <c r="U279" i="4"/>
  <c r="W279" i="4" s="1"/>
  <c r="U310" i="4"/>
  <c r="W310" i="4" s="1"/>
  <c r="U303" i="4"/>
  <c r="W303" i="4" s="1"/>
  <c r="U295" i="4"/>
  <c r="W295" i="4" s="1"/>
  <c r="U288" i="4"/>
  <c r="W288" i="4" s="1"/>
  <c r="U278" i="4"/>
  <c r="W278" i="4" s="1"/>
  <c r="U271" i="4"/>
  <c r="W271" i="4" s="1"/>
  <c r="U263" i="4"/>
  <c r="W263" i="4" s="1"/>
  <c r="U255" i="4"/>
  <c r="W255" i="4" s="1"/>
  <c r="U246" i="4"/>
  <c r="W246" i="4" s="1"/>
  <c r="U240" i="4"/>
  <c r="W240" i="4" s="1"/>
  <c r="U229" i="4"/>
  <c r="W229" i="4" s="1"/>
  <c r="U224" i="4"/>
  <c r="W224" i="4" s="1"/>
  <c r="U214" i="4"/>
  <c r="W214" i="4" s="1"/>
  <c r="U207" i="4"/>
  <c r="W207" i="4" s="1"/>
  <c r="U199" i="4"/>
  <c r="W199" i="4" s="1"/>
  <c r="U190" i="4"/>
  <c r="W190" i="4" s="1"/>
  <c r="U183" i="4"/>
  <c r="U175" i="4"/>
  <c r="U316" i="4"/>
  <c r="W316" i="4" s="1"/>
  <c r="U300" i="4"/>
  <c r="W300" i="4" s="1"/>
  <c r="U249" i="4"/>
  <c r="W249" i="4" s="1"/>
  <c r="U203" i="4"/>
  <c r="W203" i="4" s="1"/>
  <c r="U304" i="4"/>
  <c r="W304" i="4" s="1"/>
  <c r="U273" i="4"/>
  <c r="W273" i="4" s="1"/>
  <c r="U309" i="4"/>
  <c r="W309" i="4" s="1"/>
  <c r="U302" i="4"/>
  <c r="W302" i="4" s="1"/>
  <c r="U294" i="4"/>
  <c r="W294" i="4" s="1"/>
  <c r="U286" i="4"/>
  <c r="W286" i="4" s="1"/>
  <c r="U277" i="4"/>
  <c r="W277" i="4" s="1"/>
  <c r="U270" i="4"/>
  <c r="W270" i="4" s="1"/>
  <c r="U262" i="4"/>
  <c r="W262" i="4" s="1"/>
  <c r="U254" i="4"/>
  <c r="W254" i="4" s="1"/>
  <c r="U247" i="4"/>
  <c r="W247" i="4" s="1"/>
  <c r="U239" i="4"/>
  <c r="W239" i="4" s="1"/>
  <c r="U233" i="4"/>
  <c r="W233" i="4" s="1"/>
  <c r="U221" i="4"/>
  <c r="W221" i="4" s="1"/>
  <c r="U216" i="4"/>
  <c r="W216" i="4" s="1"/>
  <c r="U206" i="4"/>
  <c r="W206" i="4" s="1"/>
  <c r="U198" i="4"/>
  <c r="W198" i="4" s="1"/>
  <c r="U191" i="4"/>
  <c r="W191" i="4" s="1"/>
  <c r="U182" i="4"/>
  <c r="U177" i="4"/>
  <c r="U323" i="4"/>
  <c r="W323" i="4" s="1"/>
  <c r="U266" i="4"/>
  <c r="W266" i="4" s="1"/>
  <c r="U228" i="4"/>
  <c r="W228" i="4" s="1"/>
  <c r="U311" i="4"/>
  <c r="W311" i="4" s="1"/>
  <c r="U287" i="4"/>
  <c r="W287" i="4" s="1"/>
  <c r="U313" i="4"/>
  <c r="W313" i="4" s="1"/>
  <c r="U301" i="4"/>
  <c r="W301" i="4" s="1"/>
  <c r="U292" i="4"/>
  <c r="W292" i="4" s="1"/>
  <c r="U285" i="4"/>
  <c r="W285" i="4" s="1"/>
  <c r="U280" i="4"/>
  <c r="W280" i="4" s="1"/>
  <c r="U269" i="4"/>
  <c r="W269" i="4" s="1"/>
  <c r="U261" i="4"/>
  <c r="W261" i="4" s="1"/>
  <c r="U253" i="4"/>
  <c r="W253" i="4" s="1"/>
  <c r="U245" i="4"/>
  <c r="W245" i="4" s="1"/>
  <c r="U236" i="4"/>
  <c r="W236" i="4" s="1"/>
  <c r="U227" i="4"/>
  <c r="W227" i="4" s="1"/>
  <c r="U222" i="4"/>
  <c r="W222" i="4" s="1"/>
  <c r="U212" i="4"/>
  <c r="W212" i="4" s="1"/>
  <c r="U204" i="4"/>
  <c r="W204" i="4" s="1"/>
  <c r="U196" i="4"/>
  <c r="W196" i="4" s="1"/>
  <c r="U189" i="4"/>
  <c r="W189" i="4" s="1"/>
  <c r="U181" i="4"/>
  <c r="U325" i="4"/>
  <c r="W325" i="4" s="1"/>
  <c r="U322" i="4"/>
  <c r="W322" i="4" s="1"/>
  <c r="V154" i="4"/>
  <c r="B155" i="2"/>
  <c r="H155" i="2"/>
  <c r="M461" i="2" l="1"/>
  <c r="N461" i="2" s="1" a="1"/>
  <c r="N461" i="2" s="1"/>
  <c r="M453" i="2"/>
  <c r="N453" i="2" s="1" a="1"/>
  <c r="N453" i="2" s="1"/>
  <c r="M445" i="2"/>
  <c r="N445" i="2" s="1" a="1"/>
  <c r="N445" i="2" s="1"/>
  <c r="M437" i="2"/>
  <c r="N437" i="2" s="1" a="1"/>
  <c r="N437" i="2" s="1"/>
  <c r="M429" i="2"/>
  <c r="N429" i="2" s="1" a="1"/>
  <c r="N429" i="2" s="1"/>
  <c r="M421" i="2"/>
  <c r="N421" i="2" s="1" a="1"/>
  <c r="N421" i="2" s="1"/>
  <c r="M413" i="2"/>
  <c r="N413" i="2" s="1" a="1"/>
  <c r="N413" i="2" s="1"/>
  <c r="M405" i="2"/>
  <c r="N405" i="2" s="1" a="1"/>
  <c r="N405" i="2" s="1"/>
  <c r="P238" i="1" s="1"/>
  <c r="M397" i="2"/>
  <c r="N397" i="2" s="1" a="1"/>
  <c r="N397" i="2" s="1"/>
  <c r="M389" i="2"/>
  <c r="N389" i="2" s="1" a="1"/>
  <c r="N389" i="2" s="1"/>
  <c r="M381" i="2"/>
  <c r="N381" i="2" s="1" a="1"/>
  <c r="N381" i="2" s="1"/>
  <c r="M373" i="2"/>
  <c r="N373" i="2" s="1" a="1"/>
  <c r="N373" i="2" s="1"/>
  <c r="M365" i="2"/>
  <c r="N365" i="2" s="1" a="1"/>
  <c r="N365" i="2" s="1"/>
  <c r="M357" i="2"/>
  <c r="N357" i="2" s="1" a="1"/>
  <c r="N357" i="2" s="1"/>
  <c r="E357" i="2" s="1" a="1"/>
  <c r="E357" i="2" s="1"/>
  <c r="S60" i="1" s="1"/>
  <c r="S66" i="1" s="1"/>
  <c r="M349" i="2"/>
  <c r="N349" i="2" s="1" a="1"/>
  <c r="N349" i="2" s="1"/>
  <c r="M463" i="2"/>
  <c r="N463" i="2" s="1" a="1"/>
  <c r="N463" i="2" s="1"/>
  <c r="M423" i="2"/>
  <c r="N423" i="2" s="1" a="1"/>
  <c r="N423" i="2" s="1"/>
  <c r="M383" i="2"/>
  <c r="N383" i="2" s="1" a="1"/>
  <c r="N383" i="2" s="1"/>
  <c r="M359" i="2"/>
  <c r="N359" i="2" s="1" a="1"/>
  <c r="N359" i="2" s="1"/>
  <c r="M460" i="2"/>
  <c r="N460" i="2" s="1" a="1"/>
  <c r="N460" i="2" s="1"/>
  <c r="M452" i="2"/>
  <c r="N452" i="2" s="1" a="1"/>
  <c r="N452" i="2" s="1"/>
  <c r="M444" i="2"/>
  <c r="N444" i="2" s="1" a="1"/>
  <c r="N444" i="2" s="1"/>
  <c r="M436" i="2"/>
  <c r="N436" i="2" s="1" a="1"/>
  <c r="N436" i="2" s="1"/>
  <c r="M428" i="2"/>
  <c r="N428" i="2" s="1" a="1"/>
  <c r="N428" i="2" s="1"/>
  <c r="M420" i="2"/>
  <c r="N420" i="2" s="1" a="1"/>
  <c r="N420" i="2" s="1"/>
  <c r="M412" i="2"/>
  <c r="N412" i="2" s="1" a="1"/>
  <c r="N412" i="2" s="1"/>
  <c r="M404" i="2"/>
  <c r="N404" i="2" s="1" a="1"/>
  <c r="N404" i="2" s="1"/>
  <c r="P237" i="1" s="1"/>
  <c r="M396" i="2"/>
  <c r="N396" i="2" s="1" a="1"/>
  <c r="N396" i="2" s="1"/>
  <c r="M388" i="2"/>
  <c r="N388" i="2" s="1" a="1"/>
  <c r="N388" i="2" s="1"/>
  <c r="M380" i="2"/>
  <c r="N380" i="2" s="1" a="1"/>
  <c r="N380" i="2" s="1"/>
  <c r="M372" i="2"/>
  <c r="N372" i="2" s="1" a="1"/>
  <c r="N372" i="2" s="1"/>
  <c r="M364" i="2"/>
  <c r="N364" i="2" s="1" a="1"/>
  <c r="N364" i="2" s="1"/>
  <c r="M356" i="2"/>
  <c r="N356" i="2" s="1" a="1"/>
  <c r="N356" i="2" s="1"/>
  <c r="M348" i="2"/>
  <c r="N348" i="2" s="1" a="1"/>
  <c r="N348" i="2" s="1"/>
  <c r="M407" i="2"/>
  <c r="N407" i="2" s="1" a="1"/>
  <c r="N407" i="2" s="1"/>
  <c r="P240" i="1" s="1"/>
  <c r="M454" i="2"/>
  <c r="N454" i="2" s="1" a="1"/>
  <c r="N454" i="2" s="1"/>
  <c r="M422" i="2"/>
  <c r="N422" i="2" s="1" a="1"/>
  <c r="N422" i="2" s="1"/>
  <c r="M406" i="2"/>
  <c r="N406" i="2" s="1" a="1"/>
  <c r="N406" i="2" s="1"/>
  <c r="P239" i="1" s="1"/>
  <c r="M382" i="2"/>
  <c r="N382" i="2" s="1" a="1"/>
  <c r="N382" i="2" s="1"/>
  <c r="M366" i="2"/>
  <c r="N366" i="2" s="1" a="1"/>
  <c r="N366" i="2" s="1"/>
  <c r="M467" i="2"/>
  <c r="N467" i="2" s="1" a="1"/>
  <c r="N467" i="2" s="1"/>
  <c r="E464" i="2" s="1" a="1"/>
  <c r="E464" i="2" s="1"/>
  <c r="M459" i="2"/>
  <c r="N459" i="2" s="1" a="1"/>
  <c r="N459" i="2" s="1"/>
  <c r="E456" i="2" s="1" a="1"/>
  <c r="E456" i="2" s="1"/>
  <c r="M451" i="2"/>
  <c r="N451" i="2" s="1" a="1"/>
  <c r="N451" i="2" s="1"/>
  <c r="M443" i="2"/>
  <c r="N443" i="2" s="1" a="1"/>
  <c r="N443" i="2" s="1"/>
  <c r="M435" i="2"/>
  <c r="N435" i="2" s="1" a="1"/>
  <c r="N435" i="2" s="1"/>
  <c r="M427" i="2"/>
  <c r="N427" i="2" s="1" a="1"/>
  <c r="N427" i="2" s="1"/>
  <c r="M419" i="2"/>
  <c r="N419" i="2" s="1" a="1"/>
  <c r="N419" i="2" s="1"/>
  <c r="M411" i="2"/>
  <c r="N411" i="2" s="1" a="1"/>
  <c r="N411" i="2" s="1"/>
  <c r="P244" i="1" s="1"/>
  <c r="M403" i="2"/>
  <c r="N403" i="2" s="1" a="1"/>
  <c r="N403" i="2" s="1"/>
  <c r="M395" i="2"/>
  <c r="N395" i="2" s="1" a="1"/>
  <c r="N395" i="2" s="1"/>
  <c r="M387" i="2"/>
  <c r="N387" i="2" s="1" a="1"/>
  <c r="N387" i="2" s="1"/>
  <c r="M379" i="2"/>
  <c r="N379" i="2" s="1" a="1"/>
  <c r="N379" i="2" s="1"/>
  <c r="M371" i="2"/>
  <c r="N371" i="2" s="1" a="1"/>
  <c r="N371" i="2" s="1"/>
  <c r="E391" i="2" s="1" a="1"/>
  <c r="E391" i="2" s="1"/>
  <c r="P132" i="1" s="1"/>
  <c r="M363" i="2"/>
  <c r="N363" i="2" s="1" a="1"/>
  <c r="N363" i="2" s="1"/>
  <c r="M355" i="2"/>
  <c r="N355" i="2" s="1" a="1"/>
  <c r="N355" i="2" s="1"/>
  <c r="E355" i="2" s="1" a="1"/>
  <c r="E355" i="2" s="1"/>
  <c r="P48" i="1" s="1"/>
  <c r="M347" i="2"/>
  <c r="N347" i="2" s="1" a="1"/>
  <c r="N347" i="2" s="1"/>
  <c r="E352" i="2" s="1" a="1"/>
  <c r="E352" i="2" s="1"/>
  <c r="P45" i="1" s="1"/>
  <c r="M455" i="2"/>
  <c r="N455" i="2" s="1" a="1"/>
  <c r="N455" i="2" s="1"/>
  <c r="M415" i="2"/>
  <c r="N415" i="2" s="1" a="1"/>
  <c r="N415" i="2" s="1"/>
  <c r="M375" i="2"/>
  <c r="N375" i="2" s="1" a="1"/>
  <c r="N375" i="2" s="1"/>
  <c r="M351" i="2"/>
  <c r="N351" i="2" s="1" a="1"/>
  <c r="N351" i="2" s="1"/>
  <c r="M438" i="2"/>
  <c r="N438" i="2" s="1" a="1"/>
  <c r="N438" i="2" s="1"/>
  <c r="M466" i="2"/>
  <c r="N466" i="2" s="1" a="1"/>
  <c r="N466" i="2" s="1"/>
  <c r="E463" i="2" s="1" a="1"/>
  <c r="E463" i="2" s="1"/>
  <c r="M458" i="2"/>
  <c r="N458" i="2" s="1" a="1"/>
  <c r="N458" i="2" s="1"/>
  <c r="E455" i="2" s="1" a="1"/>
  <c r="E455" i="2" s="1"/>
  <c r="M450" i="2"/>
  <c r="N450" i="2" s="1" a="1"/>
  <c r="N450" i="2" s="1"/>
  <c r="E447" i="2" s="1" a="1"/>
  <c r="E447" i="2" s="1"/>
  <c r="M442" i="2"/>
  <c r="N442" i="2" s="1" a="1"/>
  <c r="N442" i="2" s="1"/>
  <c r="M434" i="2"/>
  <c r="N434" i="2" s="1" a="1"/>
  <c r="N434" i="2" s="1"/>
  <c r="M426" i="2"/>
  <c r="N426" i="2" s="1" a="1"/>
  <c r="N426" i="2" s="1"/>
  <c r="M418" i="2"/>
  <c r="N418" i="2" s="1" a="1"/>
  <c r="N418" i="2" s="1"/>
  <c r="M410" i="2"/>
  <c r="N410" i="2" s="1" a="1"/>
  <c r="N410" i="2" s="1"/>
  <c r="P243" i="1" s="1"/>
  <c r="M402" i="2"/>
  <c r="N402" i="2" s="1" a="1"/>
  <c r="N402" i="2" s="1"/>
  <c r="M394" i="2"/>
  <c r="N394" i="2" s="1" a="1"/>
  <c r="N394" i="2" s="1"/>
  <c r="E399" i="2" s="1" a="1"/>
  <c r="E399" i="2" s="1"/>
  <c r="P140" i="1" s="1"/>
  <c r="M386" i="2"/>
  <c r="N386" i="2" s="1" a="1"/>
  <c r="N386" i="2" s="1"/>
  <c r="M378" i="2"/>
  <c r="N378" i="2" s="1" a="1"/>
  <c r="N378" i="2" s="1"/>
  <c r="M370" i="2"/>
  <c r="N370" i="2" s="1" a="1"/>
  <c r="N370" i="2" s="1"/>
  <c r="M362" i="2"/>
  <c r="N362" i="2" s="1" a="1"/>
  <c r="N362" i="2" s="1"/>
  <c r="M354" i="2"/>
  <c r="N354" i="2" s="1" a="1"/>
  <c r="N354" i="2" s="1"/>
  <c r="M346" i="2"/>
  <c r="N346" i="2" s="1" a="1"/>
  <c r="N346" i="2" s="1"/>
  <c r="M447" i="2"/>
  <c r="N447" i="2" s="1" a="1"/>
  <c r="N447" i="2" s="1"/>
  <c r="M367" i="2"/>
  <c r="N367" i="2" s="1" a="1"/>
  <c r="N367" i="2" s="1"/>
  <c r="M446" i="2"/>
  <c r="N446" i="2" s="1" a="1"/>
  <c r="N446" i="2" s="1"/>
  <c r="M390" i="2"/>
  <c r="N390" i="2" s="1" a="1"/>
  <c r="N390" i="2" s="1"/>
  <c r="M358" i="2"/>
  <c r="N358" i="2" s="1" a="1"/>
  <c r="N358" i="2" s="1"/>
  <c r="M465" i="2"/>
  <c r="N465" i="2" s="1" a="1"/>
  <c r="N465" i="2" s="1"/>
  <c r="M457" i="2"/>
  <c r="N457" i="2" s="1" a="1"/>
  <c r="N457" i="2" s="1"/>
  <c r="M449" i="2"/>
  <c r="N449" i="2" s="1" a="1"/>
  <c r="N449" i="2" s="1"/>
  <c r="M441" i="2"/>
  <c r="N441" i="2" s="1" a="1"/>
  <c r="N441" i="2" s="1"/>
  <c r="E438" i="2" s="1" a="1"/>
  <c r="E438" i="2" s="1"/>
  <c r="P217" i="1" s="1"/>
  <c r="P235" i="1" s="1"/>
  <c r="M433" i="2"/>
  <c r="N433" i="2" s="1" a="1"/>
  <c r="N433" i="2" s="1"/>
  <c r="E430" i="2" s="1" a="1"/>
  <c r="E430" i="2" s="1"/>
  <c r="S209" i="1" s="1"/>
  <c r="S227" i="1" s="1"/>
  <c r="M425" i="2"/>
  <c r="N425" i="2" s="1" a="1"/>
  <c r="N425" i="2" s="1"/>
  <c r="E422" i="2" s="1" a="1"/>
  <c r="E422" i="2" s="1"/>
  <c r="P163" i="1" s="1"/>
  <c r="M417" i="2"/>
  <c r="N417" i="2" s="1" a="1"/>
  <c r="N417" i="2" s="1"/>
  <c r="M409" i="2"/>
  <c r="N409" i="2" s="1" a="1"/>
  <c r="N409" i="2" s="1"/>
  <c r="P242" i="1" s="1"/>
  <c r="M401" i="2"/>
  <c r="N401" i="2" s="1" a="1"/>
  <c r="N401" i="2" s="1"/>
  <c r="M393" i="2"/>
  <c r="N393" i="2" s="1" a="1"/>
  <c r="N393" i="2" s="1"/>
  <c r="M385" i="2"/>
  <c r="N385" i="2" s="1" a="1"/>
  <c r="N385" i="2" s="1"/>
  <c r="M377" i="2"/>
  <c r="N377" i="2" s="1" a="1"/>
  <c r="N377" i="2" s="1"/>
  <c r="M369" i="2"/>
  <c r="N369" i="2" s="1" a="1"/>
  <c r="N369" i="2" s="1"/>
  <c r="M361" i="2"/>
  <c r="N361" i="2" s="1" a="1"/>
  <c r="N361" i="2" s="1"/>
  <c r="E366" i="2" s="1" a="1"/>
  <c r="E366" i="2" s="1"/>
  <c r="P75" i="1" s="1"/>
  <c r="M353" i="2"/>
  <c r="N353" i="2" s="1" a="1"/>
  <c r="N353" i="2" s="1"/>
  <c r="M345" i="2"/>
  <c r="N345" i="2" s="1" a="1"/>
  <c r="N345" i="2" s="1"/>
  <c r="M439" i="2"/>
  <c r="N439" i="2" s="1" a="1"/>
  <c r="N439" i="2" s="1"/>
  <c r="M391" i="2"/>
  <c r="N391" i="2" s="1" a="1"/>
  <c r="N391" i="2" s="1"/>
  <c r="M462" i="2"/>
  <c r="N462" i="2" s="1" a="1"/>
  <c r="N462" i="2" s="1"/>
  <c r="M430" i="2"/>
  <c r="N430" i="2" s="1" a="1"/>
  <c r="N430" i="2" s="1"/>
  <c r="M414" i="2"/>
  <c r="N414" i="2" s="1" a="1"/>
  <c r="N414" i="2" s="1"/>
  <c r="M398" i="2"/>
  <c r="N398" i="2" s="1" a="1"/>
  <c r="N398" i="2" s="1"/>
  <c r="M374" i="2"/>
  <c r="N374" i="2" s="1" a="1"/>
  <c r="N374" i="2" s="1"/>
  <c r="E375" i="2" s="1" a="1"/>
  <c r="E375" i="2" s="1"/>
  <c r="P84" i="1" s="1"/>
  <c r="M350" i="2"/>
  <c r="N350" i="2" s="1" a="1"/>
  <c r="N350" i="2" s="1"/>
  <c r="E361" i="2" s="1" a="1"/>
  <c r="E361" i="2" s="1"/>
  <c r="P70" i="1" s="1"/>
  <c r="M464" i="2"/>
  <c r="N464" i="2" s="1" a="1"/>
  <c r="N464" i="2" s="1"/>
  <c r="M456" i="2"/>
  <c r="N456" i="2" s="1" a="1"/>
  <c r="N456" i="2" s="1"/>
  <c r="M448" i="2"/>
  <c r="N448" i="2" s="1" a="1"/>
  <c r="N448" i="2" s="1"/>
  <c r="M440" i="2"/>
  <c r="N440" i="2" s="1" a="1"/>
  <c r="N440" i="2" s="1"/>
  <c r="E437" i="2" s="1" a="1"/>
  <c r="E437" i="2" s="1"/>
  <c r="P216" i="1" s="1"/>
  <c r="P234" i="1" s="1"/>
  <c r="M432" i="2"/>
  <c r="N432" i="2" s="1" a="1"/>
  <c r="N432" i="2" s="1"/>
  <c r="M424" i="2"/>
  <c r="N424" i="2" s="1" a="1"/>
  <c r="N424" i="2" s="1"/>
  <c r="M416" i="2"/>
  <c r="N416" i="2" s="1" a="1"/>
  <c r="N416" i="2" s="1"/>
  <c r="E413" i="2" s="1" a="1"/>
  <c r="E413" i="2" s="1"/>
  <c r="P154" i="1" s="1"/>
  <c r="M408" i="2"/>
  <c r="N408" i="2" s="1" a="1"/>
  <c r="N408" i="2" s="1"/>
  <c r="P241" i="1" s="1"/>
  <c r="M400" i="2"/>
  <c r="N400" i="2" s="1" a="1"/>
  <c r="N400" i="2" s="1"/>
  <c r="M392" i="2"/>
  <c r="N392" i="2" s="1" a="1"/>
  <c r="N392" i="2" s="1"/>
  <c r="M384" i="2"/>
  <c r="N384" i="2" s="1" a="1"/>
  <c r="N384" i="2" s="1"/>
  <c r="M376" i="2"/>
  <c r="N376" i="2" s="1" a="1"/>
  <c r="N376" i="2" s="1"/>
  <c r="E377" i="2" s="1" a="1"/>
  <c r="E377" i="2" s="1"/>
  <c r="P86" i="1" s="1"/>
  <c r="M368" i="2"/>
  <c r="N368" i="2" s="1" a="1"/>
  <c r="N368" i="2" s="1"/>
  <c r="M360" i="2"/>
  <c r="N360" i="2" s="1" a="1"/>
  <c r="N360" i="2" s="1"/>
  <c r="E365" i="2" s="1" a="1"/>
  <c r="E365" i="2" s="1"/>
  <c r="P74" i="1" s="1"/>
  <c r="M352" i="2"/>
  <c r="N352" i="2" s="1" a="1"/>
  <c r="N352" i="2" s="1"/>
  <c r="M344" i="2"/>
  <c r="N344" i="2" s="1" a="1"/>
  <c r="N344" i="2" s="1"/>
  <c r="E347" i="2" s="1" a="1"/>
  <c r="E347" i="2" s="1"/>
  <c r="P40" i="1" s="1"/>
  <c r="M431" i="2"/>
  <c r="N431" i="2" s="1" a="1"/>
  <c r="N431" i="2" s="1"/>
  <c r="M399" i="2"/>
  <c r="N399" i="2" s="1" a="1"/>
  <c r="N399" i="2" s="1"/>
  <c r="V155" i="4"/>
  <c r="B156" i="2"/>
  <c r="H156" i="2"/>
  <c r="E383" i="2" l="1" a="1"/>
  <c r="E383" i="2" s="1"/>
  <c r="S114" i="1" s="1"/>
  <c r="S124" i="1" s="1"/>
  <c r="E414" i="2" a="1"/>
  <c r="E414" i="2" s="1"/>
  <c r="P155" i="1" s="1"/>
  <c r="E408" i="2" a="1"/>
  <c r="E408" i="2" s="1"/>
  <c r="P149" i="1" s="1"/>
  <c r="E387" i="2" a="1"/>
  <c r="E387" i="2" s="1"/>
  <c r="P118" i="1" s="1"/>
  <c r="P128" i="1" s="1"/>
  <c r="E369" i="2" a="1"/>
  <c r="E369" i="2" s="1"/>
  <c r="P78" i="1" s="1"/>
  <c r="E425" i="2" a="1"/>
  <c r="E425" i="2" s="1"/>
  <c r="S204" i="1" s="1"/>
  <c r="S222" i="1" s="1"/>
  <c r="E392" i="2" a="1"/>
  <c r="E392" i="2" s="1"/>
  <c r="P133" i="1" s="1"/>
  <c r="E407" i="2" a="1"/>
  <c r="E407" i="2" s="1"/>
  <c r="P148" i="1" s="1"/>
  <c r="E381" i="2" a="1"/>
  <c r="E381" i="2" s="1"/>
  <c r="P90" i="1" s="1"/>
  <c r="E429" i="2" a="1"/>
  <c r="E429" i="2" s="1"/>
  <c r="S208" i="1" s="1"/>
  <c r="S226" i="1" s="1"/>
  <c r="E373" i="2" a="1"/>
  <c r="E373" i="2" s="1"/>
  <c r="P82" i="1" s="1"/>
  <c r="E448" i="2" a="1"/>
  <c r="E448" i="2" s="1"/>
  <c r="E416" i="2" a="1"/>
  <c r="E416" i="2" s="1"/>
  <c r="P157" i="1" s="1"/>
  <c r="E433" i="2" a="1"/>
  <c r="E433" i="2" s="1"/>
  <c r="P212" i="1" s="1"/>
  <c r="P230" i="1" s="1"/>
  <c r="E411" i="2" a="1"/>
  <c r="E411" i="2" s="1"/>
  <c r="P152" i="1" s="1"/>
  <c r="E441" i="2" a="1"/>
  <c r="E441" i="2" s="1"/>
  <c r="E445" i="2" a="1"/>
  <c r="E445" i="2" s="1"/>
  <c r="E419" i="2" a="1"/>
  <c r="E419" i="2" s="1"/>
  <c r="P160" i="1" s="1"/>
  <c r="E389" i="2" a="1"/>
  <c r="E389" i="2" s="1"/>
  <c r="P120" i="1" s="1"/>
  <c r="P130" i="1" s="1"/>
  <c r="E449" i="2" a="1"/>
  <c r="E449" i="2" s="1"/>
  <c r="E397" i="2" a="1"/>
  <c r="E397" i="2" s="1"/>
  <c r="P138" i="1" s="1"/>
  <c r="E453" i="2" a="1"/>
  <c r="E453" i="2" s="1"/>
  <c r="E401" i="2" a="1"/>
  <c r="E401" i="2" s="1"/>
  <c r="P142" i="1" s="1"/>
  <c r="E457" i="2" a="1"/>
  <c r="E457" i="2" s="1"/>
  <c r="E393" i="2" a="1"/>
  <c r="E393" i="2" s="1"/>
  <c r="P134" i="1" s="1"/>
  <c r="E405" i="2" a="1"/>
  <c r="E405" i="2" s="1"/>
  <c r="P146" i="1" s="1"/>
  <c r="E388" i="2" a="1"/>
  <c r="E388" i="2" s="1"/>
  <c r="P119" i="1" s="1"/>
  <c r="P129" i="1" s="1"/>
  <c r="E378" i="2" a="1"/>
  <c r="E378" i="2" s="1"/>
  <c r="P87" i="1" s="1"/>
  <c r="E461" i="2" a="1"/>
  <c r="E461" i="2" s="1"/>
  <c r="E363" i="2" a="1"/>
  <c r="E363" i="2" s="1"/>
  <c r="P72" i="1" s="1"/>
  <c r="E379" i="2" a="1"/>
  <c r="E379" i="2" s="1"/>
  <c r="P88" i="1" s="1"/>
  <c r="E354" i="2" a="1"/>
  <c r="E354" i="2" s="1"/>
  <c r="P47" i="1" s="1"/>
  <c r="E440" i="2" a="1"/>
  <c r="E440" i="2" s="1"/>
  <c r="E359" i="2" a="1"/>
  <c r="E359" i="2" s="1"/>
  <c r="P62" i="1" s="1"/>
  <c r="P68" i="1" s="1"/>
  <c r="E358" i="2" a="1"/>
  <c r="E358" i="2" s="1"/>
  <c r="P61" i="1" s="1"/>
  <c r="P67" i="1" s="1"/>
  <c r="E390" i="2" a="1"/>
  <c r="E390" i="2" s="1"/>
  <c r="P131" i="1" s="1"/>
  <c r="E439" i="2" a="1"/>
  <c r="E439" i="2" s="1"/>
  <c r="P218" i="1" s="1"/>
  <c r="P236" i="1" s="1"/>
  <c r="E356" i="2" a="1"/>
  <c r="E356" i="2" s="1"/>
  <c r="S59" i="1" s="1"/>
  <c r="S65" i="1" s="1"/>
  <c r="E380" i="2" a="1"/>
  <c r="E380" i="2" s="1"/>
  <c r="P89" i="1" s="1"/>
  <c r="E406" i="2" a="1"/>
  <c r="E406" i="2" s="1"/>
  <c r="P147" i="1" s="1"/>
  <c r="E462" i="2" a="1"/>
  <c r="E462" i="2" s="1"/>
  <c r="E367" i="2" a="1"/>
  <c r="E367" i="2" s="1"/>
  <c r="P76" i="1" s="1"/>
  <c r="E423" i="2" a="1"/>
  <c r="E423" i="2" s="1"/>
  <c r="P164" i="1" s="1"/>
  <c r="E417" i="2" a="1"/>
  <c r="E417" i="2" s="1"/>
  <c r="P158" i="1" s="1"/>
  <c r="E421" i="2" a="1"/>
  <c r="E421" i="2" s="1"/>
  <c r="P162" i="1" s="1"/>
  <c r="E404" i="2" a="1"/>
  <c r="E404" i="2" s="1"/>
  <c r="P145" i="1" s="1"/>
  <c r="E368" i="2" a="1"/>
  <c r="E368" i="2" s="1"/>
  <c r="P77" i="1" s="1"/>
  <c r="E424" i="2" a="1"/>
  <c r="E424" i="2" s="1"/>
  <c r="S203" i="1" s="1"/>
  <c r="S221" i="1" s="1"/>
  <c r="E446" i="2" a="1"/>
  <c r="E446" i="2" s="1"/>
  <c r="E351" i="2" a="1"/>
  <c r="E351" i="2" s="1"/>
  <c r="P44" i="1" s="1"/>
  <c r="E432" i="2" a="1"/>
  <c r="E432" i="2" s="1"/>
  <c r="P211" i="1" s="1"/>
  <c r="P229" i="1" s="1"/>
  <c r="E459" i="2" a="1"/>
  <c r="E459" i="2" s="1"/>
  <c r="E398" i="2" a="1"/>
  <c r="E398" i="2" s="1"/>
  <c r="P139" i="1" s="1"/>
  <c r="E454" i="2" a="1"/>
  <c r="E454" i="2" s="1"/>
  <c r="E415" i="2" a="1"/>
  <c r="E415" i="2" s="1"/>
  <c r="P156" i="1" s="1"/>
  <c r="E409" i="2" a="1"/>
  <c r="E409" i="2" s="1"/>
  <c r="P150" i="1" s="1"/>
  <c r="E386" i="2" a="1"/>
  <c r="E386" i="2" s="1"/>
  <c r="P117" i="1" s="1"/>
  <c r="P127" i="1" s="1"/>
  <c r="E428" i="2" a="1"/>
  <c r="E428" i="2" s="1"/>
  <c r="S207" i="1" s="1"/>
  <c r="S225" i="1" s="1"/>
  <c r="E350" i="2" a="1"/>
  <c r="E350" i="2" s="1"/>
  <c r="P43" i="1" s="1"/>
  <c r="E431" i="2" a="1"/>
  <c r="E431" i="2" s="1"/>
  <c r="S210" i="1" s="1"/>
  <c r="S228" i="1" s="1"/>
  <c r="E353" i="2" a="1"/>
  <c r="E353" i="2" s="1"/>
  <c r="P46" i="1" s="1"/>
  <c r="E385" i="2" a="1"/>
  <c r="E385" i="2" s="1"/>
  <c r="S116" i="1" s="1"/>
  <c r="S126" i="1" s="1"/>
  <c r="E403" i="2" a="1"/>
  <c r="E403" i="2" s="1"/>
  <c r="P144" i="1" s="1"/>
  <c r="E443" i="2" a="1"/>
  <c r="E443" i="2" s="1"/>
  <c r="E371" i="2" a="1"/>
  <c r="E371" i="2" s="1"/>
  <c r="P80" i="1" s="1"/>
  <c r="E460" i="2" a="1"/>
  <c r="E460" i="2" s="1"/>
  <c r="E410" i="2" a="1"/>
  <c r="E410" i="2" s="1"/>
  <c r="P151" i="1" s="1"/>
  <c r="E374" i="2" a="1"/>
  <c r="E374" i="2" s="1"/>
  <c r="P83" i="1" s="1"/>
  <c r="E372" i="2" a="1"/>
  <c r="E372" i="2" s="1"/>
  <c r="P81" i="1" s="1"/>
  <c r="E360" i="2" a="1"/>
  <c r="E360" i="2" s="1"/>
  <c r="P69" i="1" s="1"/>
  <c r="E427" i="2" a="1"/>
  <c r="E427" i="2" s="1"/>
  <c r="S206" i="1" s="1"/>
  <c r="S224" i="1" s="1"/>
  <c r="E444" i="2" a="1"/>
  <c r="E444" i="2" s="1"/>
  <c r="E418" i="2" a="1"/>
  <c r="E418" i="2" s="1"/>
  <c r="P159" i="1" s="1"/>
  <c r="E435" i="2" a="1"/>
  <c r="E435" i="2" s="1"/>
  <c r="P214" i="1" s="1"/>
  <c r="P232" i="1" s="1"/>
  <c r="E370" i="2" a="1"/>
  <c r="E370" i="2" s="1"/>
  <c r="P79" i="1" s="1"/>
  <c r="E426" i="2" a="1"/>
  <c r="E426" i="2" s="1"/>
  <c r="S205" i="1" s="1"/>
  <c r="S223" i="1" s="1"/>
  <c r="E396" i="2" a="1"/>
  <c r="E396" i="2" s="1"/>
  <c r="P137" i="1" s="1"/>
  <c r="E362" i="2" a="1"/>
  <c r="E362" i="2" s="1"/>
  <c r="P71" i="1" s="1"/>
  <c r="E451" i="2" a="1"/>
  <c r="E451" i="2" s="1"/>
  <c r="E434" i="2" a="1"/>
  <c r="E434" i="2" s="1"/>
  <c r="P213" i="1" s="1"/>
  <c r="P231" i="1" s="1"/>
  <c r="E436" i="2" a="1"/>
  <c r="E436" i="2" s="1"/>
  <c r="P215" i="1" s="1"/>
  <c r="P233" i="1" s="1"/>
  <c r="E376" i="2" a="1"/>
  <c r="E376" i="2" s="1"/>
  <c r="P85" i="1" s="1"/>
  <c r="E382" i="2" a="1"/>
  <c r="E382" i="2" s="1"/>
  <c r="S113" i="1" s="1"/>
  <c r="S123" i="1" s="1"/>
  <c r="E442" i="2" a="1"/>
  <c r="E442" i="2" s="1"/>
  <c r="E349" i="2" a="1"/>
  <c r="E349" i="2" s="1"/>
  <c r="P42" i="1" s="1"/>
  <c r="E348" i="2" a="1"/>
  <c r="E348" i="2" s="1"/>
  <c r="P41" i="1" s="1"/>
  <c r="E412" i="2" a="1"/>
  <c r="E412" i="2" s="1"/>
  <c r="P153" i="1" s="1"/>
  <c r="E400" i="2" a="1"/>
  <c r="E400" i="2" s="1"/>
  <c r="P141" i="1" s="1"/>
  <c r="E384" i="2" a="1"/>
  <c r="E384" i="2" s="1"/>
  <c r="S115" i="1" s="1"/>
  <c r="S125" i="1" s="1"/>
  <c r="E394" i="2" a="1"/>
  <c r="E394" i="2" s="1"/>
  <c r="P135" i="1" s="1"/>
  <c r="E450" i="2" a="1"/>
  <c r="E450" i="2" s="1"/>
  <c r="E364" i="2" a="1"/>
  <c r="E364" i="2" s="1"/>
  <c r="P73" i="1" s="1"/>
  <c r="E395" i="2" a="1"/>
  <c r="E395" i="2" s="1"/>
  <c r="P136" i="1" s="1"/>
  <c r="E452" i="2" a="1"/>
  <c r="E452" i="2" s="1"/>
  <c r="E420" i="2" a="1"/>
  <c r="E420" i="2" s="1"/>
  <c r="P161" i="1" s="1"/>
  <c r="E402" i="2" a="1"/>
  <c r="E402" i="2" s="1"/>
  <c r="P143" i="1" s="1"/>
  <c r="E458" i="2" a="1"/>
  <c r="E458" i="2" s="1"/>
  <c r="V156" i="4"/>
  <c r="B157" i="2"/>
  <c r="H157" i="2"/>
  <c r="V157" i="4" l="1"/>
  <c r="B158" i="2"/>
  <c r="H158" i="2"/>
  <c r="V158" i="4" l="1"/>
  <c r="B159" i="2"/>
  <c r="H159" i="2"/>
  <c r="V159" i="4" l="1"/>
  <c r="B160" i="2"/>
  <c r="H160" i="2"/>
  <c r="V160" i="4" l="1"/>
  <c r="B161" i="2"/>
  <c r="H161" i="2"/>
  <c r="V161" i="4" l="1"/>
  <c r="B162" i="2"/>
  <c r="H162" i="2"/>
  <c r="V162" i="4" l="1"/>
  <c r="B163" i="2"/>
  <c r="H163" i="2"/>
  <c r="V163" i="4" l="1"/>
  <c r="B164" i="2"/>
  <c r="H164" i="2"/>
  <c r="V164" i="4" l="1"/>
  <c r="F5" i="3"/>
  <c r="V165" i="4" l="1"/>
  <c r="G5" i="3"/>
  <c r="Q40" i="3"/>
  <c r="S40" i="3" s="1"/>
  <c r="Q32" i="3"/>
  <c r="Q39" i="3"/>
  <c r="Q31" i="3"/>
  <c r="Q38" i="3"/>
  <c r="Q30" i="3"/>
  <c r="Q37" i="3"/>
  <c r="Q29" i="3"/>
  <c r="Q33" i="3"/>
  <c r="Q36" i="3"/>
  <c r="Q28" i="3"/>
  <c r="Q41" i="3"/>
  <c r="S41" i="3" s="1"/>
  <c r="Q35" i="3"/>
  <c r="Q42" i="3"/>
  <c r="S42" i="3" s="1"/>
  <c r="Q34" i="3"/>
  <c r="F7" i="3" l="1"/>
  <c r="F6" i="3"/>
  <c r="F8" i="3"/>
  <c r="V166" i="4"/>
  <c r="S39" i="3"/>
  <c r="V167" i="4" l="1"/>
  <c r="S38" i="3"/>
  <c r="V168" i="4" l="1"/>
  <c r="S37" i="3"/>
  <c r="V169" i="4" l="1"/>
  <c r="S36" i="3"/>
  <c r="V170" i="4" l="1"/>
  <c r="S35" i="3"/>
  <c r="T164" i="4" l="1"/>
  <c r="V171" i="4"/>
  <c r="S34" i="3"/>
  <c r="T162" i="4" l="1"/>
  <c r="T171" i="4"/>
  <c r="T14" i="4"/>
  <c r="T20" i="4"/>
  <c r="T9" i="4"/>
  <c r="T17" i="4"/>
  <c r="T12" i="4"/>
  <c r="T46" i="4"/>
  <c r="T7" i="4"/>
  <c r="T30" i="4"/>
  <c r="T36" i="4"/>
  <c r="T49" i="4"/>
  <c r="T89" i="4"/>
  <c r="T61" i="4"/>
  <c r="T97" i="4"/>
  <c r="T16" i="4"/>
  <c r="T94" i="4"/>
  <c r="T75" i="4"/>
  <c r="T73" i="4"/>
  <c r="T72" i="4"/>
  <c r="T65" i="4"/>
  <c r="T76" i="4"/>
  <c r="T62" i="4"/>
  <c r="T74" i="4"/>
  <c r="T45" i="4"/>
  <c r="T68" i="4"/>
  <c r="T26" i="4"/>
  <c r="T84" i="4"/>
  <c r="T88" i="4"/>
  <c r="T22" i="4"/>
  <c r="T57" i="4"/>
  <c r="T11" i="4"/>
  <c r="T31" i="4"/>
  <c r="T92" i="4"/>
  <c r="T60" i="4"/>
  <c r="T33" i="4"/>
  <c r="T41" i="4"/>
  <c r="T5" i="4"/>
  <c r="T96" i="4"/>
  <c r="T81" i="4"/>
  <c r="T59" i="4"/>
  <c r="T54" i="4"/>
  <c r="T70" i="4"/>
  <c r="T4" i="4"/>
  <c r="T18" i="4"/>
  <c r="T55" i="4"/>
  <c r="T71" i="4"/>
  <c r="T69" i="4"/>
  <c r="T95" i="4"/>
  <c r="T91" i="4"/>
  <c r="T42" i="4"/>
  <c r="T8" i="4"/>
  <c r="T38" i="4"/>
  <c r="T51" i="4"/>
  <c r="T52" i="4"/>
  <c r="T21" i="4"/>
  <c r="T93" i="4"/>
  <c r="T66" i="4"/>
  <c r="T24" i="4"/>
  <c r="T19" i="4"/>
  <c r="T39" i="4"/>
  <c r="T10" i="4"/>
  <c r="T87" i="4"/>
  <c r="T48" i="4"/>
  <c r="T64" i="4"/>
  <c r="T13" i="4"/>
  <c r="T29" i="4"/>
  <c r="T85" i="4"/>
  <c r="T86" i="4"/>
  <c r="T28" i="4"/>
  <c r="T77" i="4"/>
  <c r="T40" i="4"/>
  <c r="T32" i="4"/>
  <c r="T80" i="4"/>
  <c r="T53" i="4"/>
  <c r="T43" i="4"/>
  <c r="T63" i="4"/>
  <c r="T83" i="4"/>
  <c r="T56" i="4"/>
  <c r="T47" i="4"/>
  <c r="T98" i="4"/>
  <c r="T25" i="4"/>
  <c r="T35" i="4"/>
  <c r="T34" i="4"/>
  <c r="T78" i="4"/>
  <c r="T67" i="4"/>
  <c r="T6" i="4"/>
  <c r="T50" i="4"/>
  <c r="T58" i="4"/>
  <c r="T82" i="4"/>
  <c r="T44" i="4"/>
  <c r="T3" i="4"/>
  <c r="T79" i="4"/>
  <c r="T90" i="4"/>
  <c r="T23" i="4"/>
  <c r="T37" i="4"/>
  <c r="T27" i="4"/>
  <c r="T15" i="4"/>
  <c r="T101" i="4"/>
  <c r="T99" i="4"/>
  <c r="T100" i="4"/>
  <c r="T102" i="4"/>
  <c r="T103" i="4"/>
  <c r="T104" i="4"/>
  <c r="T105" i="4"/>
  <c r="T106" i="4"/>
  <c r="T107" i="4"/>
  <c r="T108" i="4"/>
  <c r="T109" i="4"/>
  <c r="T110" i="4"/>
  <c r="T111" i="4"/>
  <c r="T115" i="4"/>
  <c r="T113" i="4"/>
  <c r="T112" i="4"/>
  <c r="T116" i="4"/>
  <c r="T114" i="4"/>
  <c r="T118" i="4"/>
  <c r="T117" i="4"/>
  <c r="T119" i="4"/>
  <c r="T121" i="4"/>
  <c r="T120" i="4"/>
  <c r="T124" i="4"/>
  <c r="T122" i="4"/>
  <c r="T123" i="4"/>
  <c r="T127" i="4"/>
  <c r="T126" i="4"/>
  <c r="T125" i="4"/>
  <c r="T128" i="4"/>
  <c r="T133" i="4"/>
  <c r="T129" i="4"/>
  <c r="T131" i="4"/>
  <c r="T130" i="4"/>
  <c r="T137" i="4"/>
  <c r="T132" i="4"/>
  <c r="T134" i="4"/>
  <c r="T139" i="4"/>
  <c r="T135" i="4"/>
  <c r="T136" i="4"/>
  <c r="T138" i="4"/>
  <c r="T141" i="4"/>
  <c r="T140" i="4"/>
  <c r="T143" i="4"/>
  <c r="T142" i="4"/>
  <c r="T144" i="4"/>
  <c r="T146" i="4"/>
  <c r="T145" i="4"/>
  <c r="T149" i="4"/>
  <c r="T147" i="4"/>
  <c r="T148" i="4"/>
  <c r="T151" i="4"/>
  <c r="T150" i="4"/>
  <c r="T154" i="4"/>
  <c r="T152" i="4"/>
  <c r="T153" i="4"/>
  <c r="T156" i="4"/>
  <c r="T155" i="4"/>
  <c r="T157" i="4"/>
  <c r="T158" i="4"/>
  <c r="T159" i="4"/>
  <c r="T161" i="4"/>
  <c r="T160" i="4"/>
  <c r="T170" i="4"/>
  <c r="T166" i="4"/>
  <c r="T168" i="4"/>
  <c r="T163" i="4"/>
  <c r="T165" i="4"/>
  <c r="T167" i="4"/>
  <c r="T169" i="4"/>
  <c r="S33" i="3"/>
  <c r="U152" i="4" l="1"/>
  <c r="W152" i="4" s="1"/>
  <c r="U160" i="4"/>
  <c r="W160" i="4" s="1"/>
  <c r="U164" i="4"/>
  <c r="W164" i="4" s="1"/>
  <c r="U133" i="4"/>
  <c r="W133" i="4" s="1"/>
  <c r="U58" i="4"/>
  <c r="W58" i="4" s="1"/>
  <c r="U31" i="4"/>
  <c r="W31" i="4" s="1"/>
  <c r="U7" i="4"/>
  <c r="U167" i="4"/>
  <c r="W167" i="4" s="1"/>
  <c r="U161" i="4"/>
  <c r="W161" i="4" s="1"/>
  <c r="U154" i="4"/>
  <c r="W154" i="4" s="1"/>
  <c r="U144" i="4"/>
  <c r="W144" i="4" s="1"/>
  <c r="U139" i="4"/>
  <c r="W139" i="4" s="1"/>
  <c r="U128" i="4"/>
  <c r="W128" i="4" s="1"/>
  <c r="U121" i="4"/>
  <c r="W121" i="4" s="1"/>
  <c r="U115" i="4"/>
  <c r="W115" i="4" s="1"/>
  <c r="U104" i="4"/>
  <c r="W104" i="4" s="1"/>
  <c r="U37" i="4"/>
  <c r="W37" i="4" s="1"/>
  <c r="U50" i="4"/>
  <c r="W50" i="4" s="1"/>
  <c r="U47" i="4"/>
  <c r="W47" i="4" s="1"/>
  <c r="U40" i="4"/>
  <c r="W40" i="4" s="1"/>
  <c r="U48" i="4"/>
  <c r="W48" i="4" s="1"/>
  <c r="U21" i="4"/>
  <c r="W21" i="4" s="1"/>
  <c r="U69" i="4"/>
  <c r="W69" i="4" s="1"/>
  <c r="U81" i="4"/>
  <c r="W81" i="4" s="1"/>
  <c r="U11" i="4"/>
  <c r="U74" i="4"/>
  <c r="W74" i="4" s="1"/>
  <c r="U16" i="4"/>
  <c r="U46" i="4"/>
  <c r="W46" i="4" s="1"/>
  <c r="U105" i="4"/>
  <c r="W105" i="4" s="1"/>
  <c r="U93" i="4"/>
  <c r="W93" i="4" s="1"/>
  <c r="U94" i="4"/>
  <c r="W94" i="4" s="1"/>
  <c r="U162" i="4"/>
  <c r="W162" i="4" s="1"/>
  <c r="U159" i="4"/>
  <c r="W159" i="4" s="1"/>
  <c r="U150" i="4"/>
  <c r="W150" i="4" s="1"/>
  <c r="U142" i="4"/>
  <c r="W142" i="4" s="1"/>
  <c r="U134" i="4"/>
  <c r="W134" i="4" s="1"/>
  <c r="U125" i="4"/>
  <c r="W125" i="4" s="1"/>
  <c r="U119" i="4"/>
  <c r="W119" i="4" s="1"/>
  <c r="U111" i="4"/>
  <c r="W111" i="4" s="1"/>
  <c r="U103" i="4"/>
  <c r="W103" i="4" s="1"/>
  <c r="U23" i="4"/>
  <c r="W23" i="4" s="1"/>
  <c r="U6" i="4"/>
  <c r="U56" i="4"/>
  <c r="W56" i="4" s="1"/>
  <c r="U77" i="4"/>
  <c r="W77" i="4" s="1"/>
  <c r="U87" i="4"/>
  <c r="W87" i="4" s="1"/>
  <c r="U52" i="4"/>
  <c r="W52" i="4" s="1"/>
  <c r="U71" i="4"/>
  <c r="W71" i="4" s="1"/>
  <c r="U96" i="4"/>
  <c r="W96" i="4" s="1"/>
  <c r="U57" i="4"/>
  <c r="W57" i="4" s="1"/>
  <c r="U62" i="4"/>
  <c r="W62" i="4" s="1"/>
  <c r="U97" i="4"/>
  <c r="W97" i="4" s="1"/>
  <c r="U12" i="4"/>
  <c r="U113" i="4"/>
  <c r="W113" i="4" s="1"/>
  <c r="U98" i="4"/>
  <c r="W98" i="4" s="1"/>
  <c r="U59" i="4"/>
  <c r="W59" i="4" s="1"/>
  <c r="U165" i="4"/>
  <c r="W165" i="4" s="1"/>
  <c r="U158" i="4"/>
  <c r="W158" i="4" s="1"/>
  <c r="U151" i="4"/>
  <c r="W151" i="4" s="1"/>
  <c r="U143" i="4"/>
  <c r="W143" i="4" s="1"/>
  <c r="U132" i="4"/>
  <c r="W132" i="4" s="1"/>
  <c r="U126" i="4"/>
  <c r="W126" i="4" s="1"/>
  <c r="U117" i="4"/>
  <c r="W117" i="4" s="1"/>
  <c r="U110" i="4"/>
  <c r="W110" i="4" s="1"/>
  <c r="U102" i="4"/>
  <c r="W102" i="4" s="1"/>
  <c r="U90" i="4"/>
  <c r="W90" i="4" s="1"/>
  <c r="U67" i="4"/>
  <c r="W67" i="4" s="1"/>
  <c r="U83" i="4"/>
  <c r="W83" i="4" s="1"/>
  <c r="U28" i="4"/>
  <c r="W28" i="4" s="1"/>
  <c r="U10" i="4"/>
  <c r="U51" i="4"/>
  <c r="W51" i="4" s="1"/>
  <c r="U55" i="4"/>
  <c r="W55" i="4" s="1"/>
  <c r="U5" i="4"/>
  <c r="U22" i="4"/>
  <c r="W22" i="4" s="1"/>
  <c r="U76" i="4"/>
  <c r="W76" i="4" s="1"/>
  <c r="U61" i="4"/>
  <c r="W61" i="4" s="1"/>
  <c r="U17" i="4"/>
  <c r="W17" i="4" s="1"/>
  <c r="U146" i="4"/>
  <c r="W146" i="4" s="1"/>
  <c r="U27" i="4"/>
  <c r="W27" i="4" s="1"/>
  <c r="U95" i="4"/>
  <c r="W95" i="4" s="1"/>
  <c r="U45" i="4"/>
  <c r="W45" i="4" s="1"/>
  <c r="U163" i="4"/>
  <c r="W163" i="4" s="1"/>
  <c r="U157" i="4"/>
  <c r="W157" i="4" s="1"/>
  <c r="U148" i="4"/>
  <c r="W148" i="4" s="1"/>
  <c r="U140" i="4"/>
  <c r="W140" i="4" s="1"/>
  <c r="U137" i="4"/>
  <c r="W137" i="4" s="1"/>
  <c r="U127" i="4"/>
  <c r="W127" i="4" s="1"/>
  <c r="U118" i="4"/>
  <c r="W118" i="4" s="1"/>
  <c r="U109" i="4"/>
  <c r="W109" i="4" s="1"/>
  <c r="U100" i="4"/>
  <c r="W100" i="4" s="1"/>
  <c r="U79" i="4"/>
  <c r="W79" i="4" s="1"/>
  <c r="U78" i="4"/>
  <c r="W78" i="4" s="1"/>
  <c r="U63" i="4"/>
  <c r="W63" i="4" s="1"/>
  <c r="U86" i="4"/>
  <c r="W86" i="4" s="1"/>
  <c r="U39" i="4"/>
  <c r="W39" i="4" s="1"/>
  <c r="U38" i="4"/>
  <c r="W38" i="4" s="1"/>
  <c r="U18" i="4"/>
  <c r="W18" i="4" s="1"/>
  <c r="U41" i="4"/>
  <c r="W41" i="4" s="1"/>
  <c r="U88" i="4"/>
  <c r="W88" i="4" s="1"/>
  <c r="U65" i="4"/>
  <c r="W65" i="4" s="1"/>
  <c r="U89" i="4"/>
  <c r="W89" i="4" s="1"/>
  <c r="U9" i="4"/>
  <c r="U135" i="4"/>
  <c r="W135" i="4" s="1"/>
  <c r="U64" i="4"/>
  <c r="W64" i="4" s="1"/>
  <c r="U141" i="4"/>
  <c r="W141" i="4" s="1"/>
  <c r="U123" i="4"/>
  <c r="W123" i="4" s="1"/>
  <c r="U114" i="4"/>
  <c r="W114" i="4" s="1"/>
  <c r="U108" i="4"/>
  <c r="W108" i="4" s="1"/>
  <c r="U99" i="4"/>
  <c r="W99" i="4" s="1"/>
  <c r="U3" i="4"/>
  <c r="U34" i="4"/>
  <c r="W34" i="4" s="1"/>
  <c r="U43" i="4"/>
  <c r="W43" i="4" s="1"/>
  <c r="U85" i="4"/>
  <c r="W85" i="4" s="1"/>
  <c r="U19" i="4"/>
  <c r="W19" i="4" s="1"/>
  <c r="U8" i="4"/>
  <c r="U4" i="4"/>
  <c r="U33" i="4"/>
  <c r="W33" i="4" s="1"/>
  <c r="U84" i="4"/>
  <c r="W84" i="4" s="1"/>
  <c r="U72" i="4"/>
  <c r="W72" i="4" s="1"/>
  <c r="U49" i="4"/>
  <c r="W49" i="4" s="1"/>
  <c r="U20" i="4"/>
  <c r="W20" i="4" s="1"/>
  <c r="U168" i="4"/>
  <c r="W168" i="4" s="1"/>
  <c r="U147" i="4"/>
  <c r="W147" i="4" s="1"/>
  <c r="U130" i="4"/>
  <c r="W130" i="4" s="1"/>
  <c r="U166" i="4"/>
  <c r="W166" i="4" s="1"/>
  <c r="U156" i="4"/>
  <c r="W156" i="4" s="1"/>
  <c r="U149" i="4"/>
  <c r="W149" i="4" s="1"/>
  <c r="U138" i="4"/>
  <c r="W138" i="4" s="1"/>
  <c r="U131" i="4"/>
  <c r="W131" i="4" s="1"/>
  <c r="U122" i="4"/>
  <c r="W122" i="4" s="1"/>
  <c r="U116" i="4"/>
  <c r="W116" i="4" s="1"/>
  <c r="U107" i="4"/>
  <c r="W107" i="4" s="1"/>
  <c r="U101" i="4"/>
  <c r="W101" i="4" s="1"/>
  <c r="U44" i="4"/>
  <c r="W44" i="4" s="1"/>
  <c r="U35" i="4"/>
  <c r="W35" i="4" s="1"/>
  <c r="U53" i="4"/>
  <c r="W53" i="4" s="1"/>
  <c r="U29" i="4"/>
  <c r="W29" i="4" s="1"/>
  <c r="U24" i="4"/>
  <c r="W24" i="4" s="1"/>
  <c r="U42" i="4"/>
  <c r="W42" i="4" s="1"/>
  <c r="U70" i="4"/>
  <c r="W70" i="4" s="1"/>
  <c r="U60" i="4"/>
  <c r="W60" i="4" s="1"/>
  <c r="U26" i="4"/>
  <c r="W26" i="4" s="1"/>
  <c r="U73" i="4"/>
  <c r="W73" i="4" s="1"/>
  <c r="U36" i="4"/>
  <c r="W36" i="4" s="1"/>
  <c r="U14" i="4"/>
  <c r="U120" i="4"/>
  <c r="W120" i="4" s="1"/>
  <c r="U32" i="4"/>
  <c r="W32" i="4" s="1"/>
  <c r="U155" i="4"/>
  <c r="W155" i="4" s="1"/>
  <c r="U169" i="4"/>
  <c r="W169" i="4" s="1"/>
  <c r="U170" i="4"/>
  <c r="W170" i="4" s="1"/>
  <c r="U153" i="4"/>
  <c r="W153" i="4" s="1"/>
  <c r="U145" i="4"/>
  <c r="W145" i="4" s="1"/>
  <c r="U136" i="4"/>
  <c r="W136" i="4" s="1"/>
  <c r="U129" i="4"/>
  <c r="W129" i="4" s="1"/>
  <c r="U124" i="4"/>
  <c r="W124" i="4" s="1"/>
  <c r="U112" i="4"/>
  <c r="W112" i="4" s="1"/>
  <c r="U106" i="4"/>
  <c r="W106" i="4" s="1"/>
  <c r="U15" i="4"/>
  <c r="U82" i="4"/>
  <c r="W82" i="4" s="1"/>
  <c r="U25" i="4"/>
  <c r="W25" i="4" s="1"/>
  <c r="U80" i="4"/>
  <c r="W80" i="4" s="1"/>
  <c r="U13" i="4"/>
  <c r="U66" i="4"/>
  <c r="W66" i="4" s="1"/>
  <c r="U91" i="4"/>
  <c r="W91" i="4" s="1"/>
  <c r="U54" i="4"/>
  <c r="W54" i="4" s="1"/>
  <c r="U92" i="4"/>
  <c r="W92" i="4" s="1"/>
  <c r="U68" i="4"/>
  <c r="W68" i="4" s="1"/>
  <c r="U75" i="4"/>
  <c r="W75" i="4" s="1"/>
  <c r="U30" i="4"/>
  <c r="W30" i="4" s="1"/>
  <c r="U171" i="4"/>
  <c r="W171" i="4" s="1"/>
  <c r="S32" i="3"/>
  <c r="M75" i="2" l="1"/>
  <c r="N75" i="2" s="1" a="1"/>
  <c r="N75" i="2" s="1"/>
  <c r="M53" i="2"/>
  <c r="N53" i="2" s="1" a="1"/>
  <c r="N53" i="2" s="1"/>
  <c r="M54" i="2"/>
  <c r="N54" i="2" s="1" a="1"/>
  <c r="N54" i="2" s="1"/>
  <c r="M91" i="2"/>
  <c r="N91" i="2" s="1" a="1"/>
  <c r="N91" i="2" s="1"/>
  <c r="M74" i="2"/>
  <c r="N74" i="2" s="1" a="1"/>
  <c r="N74" i="2" s="1"/>
  <c r="M64" i="2"/>
  <c r="N64" i="2" s="1" a="1"/>
  <c r="N64" i="2" s="1"/>
  <c r="M73" i="2"/>
  <c r="N73" i="2" s="1" a="1"/>
  <c r="N73" i="2" s="1"/>
  <c r="M71" i="2"/>
  <c r="N71" i="2" s="1" a="1"/>
  <c r="N71" i="2" s="1"/>
  <c r="M46" i="2"/>
  <c r="N46" i="2" s="1" a="1"/>
  <c r="N46" i="2" s="1"/>
  <c r="M77" i="2"/>
  <c r="N77" i="2" s="1" a="1"/>
  <c r="N77" i="2" s="1"/>
  <c r="M96" i="2"/>
  <c r="N96" i="2" s="1" a="1"/>
  <c r="N96" i="2" s="1"/>
  <c r="M49" i="2"/>
  <c r="N49" i="2" s="1" a="1"/>
  <c r="N49" i="2" s="1"/>
  <c r="M58" i="2"/>
  <c r="N58" i="2" s="1" a="1"/>
  <c r="N58" i="2" s="1"/>
  <c r="M66" i="2"/>
  <c r="N66" i="2" s="1" a="1"/>
  <c r="N66" i="2" s="1"/>
  <c r="M95" i="2"/>
  <c r="N95" i="2" s="1" a="1"/>
  <c r="N95" i="2" s="1"/>
  <c r="M59" i="2"/>
  <c r="N59" i="2" s="1" a="1"/>
  <c r="N59" i="2" s="1"/>
  <c r="M83" i="2"/>
  <c r="N83" i="2" s="1" a="1"/>
  <c r="N83" i="2" s="1"/>
  <c r="M47" i="2"/>
  <c r="N47" i="2" s="1" a="1"/>
  <c r="N47" i="2" s="1"/>
  <c r="M70" i="2"/>
  <c r="N70" i="2" s="1" a="1"/>
  <c r="N70" i="2" s="1"/>
  <c r="M69" i="2"/>
  <c r="N69" i="2" s="1" a="1"/>
  <c r="N69" i="2" s="1"/>
  <c r="M88" i="2"/>
  <c r="N88" i="2" s="1" a="1"/>
  <c r="N88" i="2" s="1"/>
  <c r="M41" i="2"/>
  <c r="N41" i="2" s="1" a="1"/>
  <c r="N41" i="2" s="1"/>
  <c r="M50" i="2"/>
  <c r="N50" i="2" s="1" a="1"/>
  <c r="N50" i="2" s="1"/>
  <c r="M67" i="2"/>
  <c r="N67" i="2" s="1" a="1"/>
  <c r="N67" i="2" s="1"/>
  <c r="M82" i="2"/>
  <c r="N82" i="2" s="1" a="1"/>
  <c r="N82" i="2" s="1"/>
  <c r="M80" i="2"/>
  <c r="N80" i="2" s="1" a="1"/>
  <c r="N80" i="2" s="1"/>
  <c r="M42" i="2"/>
  <c r="N42" i="2" s="1" a="1"/>
  <c r="N42" i="2" s="1"/>
  <c r="M92" i="2"/>
  <c r="N92" i="2" s="1" a="1"/>
  <c r="N92" i="2" s="1"/>
  <c r="M85" i="2"/>
  <c r="N85" i="2" s="1" a="1"/>
  <c r="N85" i="2" s="1"/>
  <c r="M61" i="2"/>
  <c r="N61" i="2" s="1" a="1"/>
  <c r="N61" i="2" s="1"/>
  <c r="M72" i="2"/>
  <c r="N72" i="2" s="1" a="1"/>
  <c r="N72" i="2" s="1"/>
  <c r="M87" i="2"/>
  <c r="N87" i="2" s="1" a="1"/>
  <c r="N87" i="2" s="1"/>
  <c r="M97" i="2"/>
  <c r="N97" i="2" s="1" a="1"/>
  <c r="N97" i="2" s="1"/>
  <c r="M51" i="2"/>
  <c r="N51" i="2" s="1" a="1"/>
  <c r="N51" i="2" s="1"/>
  <c r="M76" i="2"/>
  <c r="N76" i="2" s="1" a="1"/>
  <c r="N76" i="2" s="1"/>
  <c r="M99" i="2"/>
  <c r="N99" i="2" s="1" a="1"/>
  <c r="N99" i="2" s="1"/>
  <c r="M84" i="2"/>
  <c r="N84" i="2" s="1" a="1"/>
  <c r="N84" i="2" s="1"/>
  <c r="M44" i="2"/>
  <c r="N44" i="2" s="1" a="1"/>
  <c r="N44" i="2" s="1"/>
  <c r="M79" i="2"/>
  <c r="N79" i="2" s="1" a="1"/>
  <c r="N79" i="2" s="1"/>
  <c r="M89" i="2"/>
  <c r="N89" i="2" s="1" a="1"/>
  <c r="N89" i="2" s="1"/>
  <c r="M43" i="2"/>
  <c r="N43" i="2" s="1" a="1"/>
  <c r="N43" i="2" s="1"/>
  <c r="M68" i="2"/>
  <c r="N68" i="2" s="1" a="1"/>
  <c r="N68" i="2" s="1"/>
  <c r="M94" i="2"/>
  <c r="N94" i="2" s="1" a="1"/>
  <c r="N94" i="2" s="1"/>
  <c r="M45" i="2"/>
  <c r="N45" i="2" s="1" a="1"/>
  <c r="N45" i="2" s="1"/>
  <c r="M65" i="2"/>
  <c r="N65" i="2" s="1" a="1"/>
  <c r="N65" i="2" s="1"/>
  <c r="M81" i="2"/>
  <c r="N81" i="2" s="1" a="1"/>
  <c r="N81" i="2" s="1"/>
  <c r="M98" i="2"/>
  <c r="N98" i="2" s="1" a="1"/>
  <c r="N98" i="2" s="1"/>
  <c r="M60" i="2"/>
  <c r="N60" i="2" s="1" a="1"/>
  <c r="N60" i="2" s="1"/>
  <c r="M86" i="2"/>
  <c r="N86" i="2" s="1" a="1"/>
  <c r="N86" i="2" s="1"/>
  <c r="M48" i="2"/>
  <c r="N48" i="2" s="1" a="1"/>
  <c r="N48" i="2" s="1"/>
  <c r="M56" i="2"/>
  <c r="N56" i="2" s="1" a="1"/>
  <c r="N56" i="2" s="1"/>
  <c r="M57" i="2"/>
  <c r="N57" i="2" s="1" a="1"/>
  <c r="N57" i="2" s="1"/>
  <c r="M90" i="2"/>
  <c r="N90" i="2" s="1" a="1"/>
  <c r="N90" i="2" s="1"/>
  <c r="M52" i="2"/>
  <c r="N52" i="2" s="1" a="1"/>
  <c r="N52" i="2" s="1"/>
  <c r="M78" i="2"/>
  <c r="N78" i="2" s="1" a="1"/>
  <c r="N78" i="2" s="1"/>
  <c r="M93" i="2"/>
  <c r="N93" i="2" s="1" a="1"/>
  <c r="N93" i="2" s="1"/>
  <c r="M55" i="2"/>
  <c r="N55" i="2" s="1" a="1"/>
  <c r="N55" i="2" s="1"/>
  <c r="M63" i="2"/>
  <c r="N63" i="2" s="1" a="1"/>
  <c r="N63" i="2" s="1"/>
  <c r="M62" i="2"/>
  <c r="N62" i="2" s="1" a="1"/>
  <c r="N62" i="2" s="1"/>
  <c r="M100" i="2"/>
  <c r="N100" i="2" s="1" a="1"/>
  <c r="N100" i="2" s="1"/>
  <c r="M101" i="2"/>
  <c r="N101" i="2" s="1" a="1"/>
  <c r="N101" i="2" s="1"/>
  <c r="M102" i="2"/>
  <c r="N102" i="2" s="1" a="1"/>
  <c r="N102" i="2" s="1"/>
  <c r="M103" i="2"/>
  <c r="N103" i="2" s="1" a="1"/>
  <c r="N103" i="2" s="1"/>
  <c r="M104" i="2"/>
  <c r="N104" i="2" s="1" a="1"/>
  <c r="N104" i="2" s="1"/>
  <c r="M105" i="2"/>
  <c r="N105" i="2" s="1" a="1"/>
  <c r="N105" i="2" s="1"/>
  <c r="M106" i="2"/>
  <c r="N106" i="2" s="1" a="1"/>
  <c r="N106" i="2" s="1"/>
  <c r="M107" i="2"/>
  <c r="N107" i="2" s="1" a="1"/>
  <c r="N107" i="2" s="1"/>
  <c r="M108" i="2"/>
  <c r="N108" i="2" s="1" a="1"/>
  <c r="N108" i="2" s="1"/>
  <c r="M109" i="2"/>
  <c r="N109" i="2" s="1" a="1"/>
  <c r="N109" i="2" s="1"/>
  <c r="F237" i="1" s="1"/>
  <c r="M110" i="2"/>
  <c r="N110" i="2" s="1" a="1"/>
  <c r="N110" i="2" s="1"/>
  <c r="F238" i="1" s="1"/>
  <c r="M111" i="2"/>
  <c r="N111" i="2" s="1" a="1"/>
  <c r="N111" i="2" s="1"/>
  <c r="F239" i="1" s="1"/>
  <c r="M112" i="2"/>
  <c r="N112" i="2" s="1" a="1"/>
  <c r="N112" i="2" s="1"/>
  <c r="F240" i="1" s="1"/>
  <c r="M113" i="2"/>
  <c r="N113" i="2" s="1" a="1"/>
  <c r="N113" i="2" s="1"/>
  <c r="F241" i="1" s="1"/>
  <c r="M114" i="2"/>
  <c r="N114" i="2" s="1" a="1"/>
  <c r="N114" i="2" s="1"/>
  <c r="F242" i="1" s="1"/>
  <c r="M115" i="2"/>
  <c r="N115" i="2" s="1" a="1"/>
  <c r="N115" i="2" s="1"/>
  <c r="F243" i="1" s="1"/>
  <c r="M116" i="2"/>
  <c r="N116" i="2" s="1" a="1"/>
  <c r="N116" i="2" s="1"/>
  <c r="F244" i="1" s="1"/>
  <c r="M117" i="2"/>
  <c r="N117" i="2" s="1" a="1"/>
  <c r="N117" i="2" s="1"/>
  <c r="M118" i="2"/>
  <c r="N118" i="2" s="1" a="1"/>
  <c r="N118" i="2" s="1"/>
  <c r="M119" i="2"/>
  <c r="N119" i="2" s="1" a="1"/>
  <c r="N119" i="2" s="1"/>
  <c r="M120" i="2"/>
  <c r="N120" i="2" s="1" a="1"/>
  <c r="N120" i="2" s="1"/>
  <c r="M121" i="2"/>
  <c r="N121" i="2" s="1" a="1"/>
  <c r="N121" i="2" s="1"/>
  <c r="M122" i="2"/>
  <c r="N122" i="2" s="1" a="1"/>
  <c r="N122" i="2" s="1"/>
  <c r="M123" i="2"/>
  <c r="N123" i="2" s="1" a="1"/>
  <c r="N123" i="2" s="1"/>
  <c r="M124" i="2"/>
  <c r="N124" i="2" s="1" a="1"/>
  <c r="N124" i="2" s="1"/>
  <c r="M125" i="2"/>
  <c r="N125" i="2" s="1" a="1"/>
  <c r="N125" i="2" s="1"/>
  <c r="M126" i="2"/>
  <c r="N126" i="2" s="1" a="1"/>
  <c r="N126" i="2" s="1"/>
  <c r="M127" i="2"/>
  <c r="N127" i="2" s="1" a="1"/>
  <c r="N127" i="2" s="1"/>
  <c r="M128" i="2"/>
  <c r="N128" i="2" s="1" a="1"/>
  <c r="N128" i="2" s="1"/>
  <c r="M129" i="2"/>
  <c r="N129" i="2" s="1" a="1"/>
  <c r="N129" i="2" s="1"/>
  <c r="M130" i="2"/>
  <c r="N130" i="2" s="1" a="1"/>
  <c r="N130" i="2" s="1"/>
  <c r="M131" i="2"/>
  <c r="N131" i="2" s="1" a="1"/>
  <c r="N131" i="2" s="1"/>
  <c r="M132" i="2"/>
  <c r="N132" i="2" s="1" a="1"/>
  <c r="N132" i="2" s="1"/>
  <c r="M133" i="2"/>
  <c r="N133" i="2" s="1" a="1"/>
  <c r="N133" i="2" s="1"/>
  <c r="M134" i="2"/>
  <c r="N134" i="2" s="1" a="1"/>
  <c r="N134" i="2" s="1"/>
  <c r="M135" i="2"/>
  <c r="N135" i="2" s="1" a="1"/>
  <c r="N135" i="2" s="1"/>
  <c r="M136" i="2"/>
  <c r="N136" i="2" s="1" a="1"/>
  <c r="N136" i="2" s="1"/>
  <c r="M137" i="2"/>
  <c r="N137" i="2" s="1" a="1"/>
  <c r="N137" i="2" s="1"/>
  <c r="M138" i="2"/>
  <c r="N138" i="2" s="1" a="1"/>
  <c r="N138" i="2" s="1"/>
  <c r="M139" i="2"/>
  <c r="N139" i="2" s="1" a="1"/>
  <c r="N139" i="2" s="1"/>
  <c r="M140" i="2"/>
  <c r="N140" i="2" s="1" a="1"/>
  <c r="N140" i="2" s="1"/>
  <c r="M141" i="2"/>
  <c r="N141" i="2" s="1" a="1"/>
  <c r="N141" i="2" s="1"/>
  <c r="M142" i="2"/>
  <c r="N142" i="2" s="1" a="1"/>
  <c r="N142" i="2" s="1"/>
  <c r="M143" i="2"/>
  <c r="N143" i="2" s="1" a="1"/>
  <c r="N143" i="2" s="1"/>
  <c r="M144" i="2"/>
  <c r="N144" i="2" s="1" a="1"/>
  <c r="N144" i="2" s="1"/>
  <c r="M145" i="2"/>
  <c r="N145" i="2" s="1" a="1"/>
  <c r="N145" i="2" s="1"/>
  <c r="M146" i="2"/>
  <c r="N146" i="2" s="1" a="1"/>
  <c r="N146" i="2" s="1"/>
  <c r="M147" i="2"/>
  <c r="N147" i="2" s="1" a="1"/>
  <c r="N147" i="2" s="1"/>
  <c r="M148" i="2"/>
  <c r="N148" i="2" s="1" a="1"/>
  <c r="N148" i="2" s="1"/>
  <c r="M149" i="2"/>
  <c r="N149" i="2" s="1" a="1"/>
  <c r="N149" i="2" s="1"/>
  <c r="M150" i="2"/>
  <c r="N150" i="2" s="1" a="1"/>
  <c r="N150" i="2" s="1"/>
  <c r="M151" i="2"/>
  <c r="N151" i="2" s="1" a="1"/>
  <c r="N151" i="2" s="1"/>
  <c r="M152" i="2"/>
  <c r="N152" i="2" s="1" a="1"/>
  <c r="N152" i="2" s="1"/>
  <c r="M153" i="2"/>
  <c r="N153" i="2" s="1" a="1"/>
  <c r="N153" i="2" s="1"/>
  <c r="M154" i="2"/>
  <c r="N154" i="2" s="1" a="1"/>
  <c r="N154" i="2" s="1"/>
  <c r="M155" i="2"/>
  <c r="N155" i="2" s="1" a="1"/>
  <c r="N155" i="2" s="1"/>
  <c r="M156" i="2"/>
  <c r="N156" i="2" s="1" a="1"/>
  <c r="N156" i="2" s="1"/>
  <c r="M157" i="2"/>
  <c r="N157" i="2" s="1" a="1"/>
  <c r="N157" i="2" s="1"/>
  <c r="M158" i="2"/>
  <c r="N158" i="2" s="1" a="1"/>
  <c r="N158" i="2" s="1"/>
  <c r="M159" i="2"/>
  <c r="N159" i="2" s="1" a="1"/>
  <c r="N159" i="2" s="1"/>
  <c r="M160" i="2"/>
  <c r="N160" i="2" s="1" a="1"/>
  <c r="N160" i="2" s="1"/>
  <c r="M161" i="2"/>
  <c r="N161" i="2" s="1" a="1"/>
  <c r="N161" i="2" s="1"/>
  <c r="M162" i="2"/>
  <c r="N162" i="2" s="1" a="1"/>
  <c r="N162" i="2" s="1"/>
  <c r="M163" i="2"/>
  <c r="N163" i="2" s="1" a="1"/>
  <c r="N163" i="2" s="1"/>
  <c r="M164" i="2"/>
  <c r="N164" i="2" s="1" a="1"/>
  <c r="N164" i="2" s="1"/>
  <c r="S31" i="3"/>
  <c r="S30" i="3" l="1"/>
  <c r="S29" i="3"/>
  <c r="C21" i="2" l="1"/>
  <c r="C22" i="2"/>
  <c r="E22" i="2" s="1" a="1"/>
  <c r="E22" i="2" s="1"/>
  <c r="C19" i="2"/>
  <c r="E19" i="2" s="1" a="1"/>
  <c r="E19" i="2" s="1"/>
  <c r="C18" i="2"/>
  <c r="C10" i="2"/>
  <c r="C13" i="2"/>
  <c r="E13" i="2" s="1" a="1"/>
  <c r="E13" i="2" s="1"/>
  <c r="C15" i="2"/>
  <c r="E15" i="2" s="1" a="1"/>
  <c r="E15" i="2" s="1"/>
  <c r="C14" i="2"/>
  <c r="E14" i="2" s="1" a="1"/>
  <c r="E14" i="2" s="1"/>
  <c r="C16" i="2"/>
  <c r="E16" i="2" s="1" a="1"/>
  <c r="E16" i="2" s="1"/>
  <c r="C12" i="2"/>
  <c r="E12" i="2" s="1" a="1"/>
  <c r="E12" i="2" s="1"/>
  <c r="C11" i="2"/>
  <c r="E11" i="2" s="1" a="1"/>
  <c r="E11" i="2" s="1"/>
  <c r="E18" i="2" l="1" a="1"/>
  <c r="E18" i="2" s="1"/>
  <c r="B37" i="2"/>
  <c r="E21" i="2" a="1"/>
  <c r="E21" i="2" s="1"/>
  <c r="B38" i="2"/>
  <c r="E10" i="2" a="1"/>
  <c r="E10" i="2" s="1"/>
  <c r="B36" i="2"/>
  <c r="G195" i="2" l="1"/>
  <c r="F195" i="2" s="1"/>
  <c r="G193" i="2"/>
  <c r="F193" i="2" s="1"/>
  <c r="G192" i="2"/>
  <c r="F192" i="2" s="1"/>
  <c r="G196" i="2"/>
  <c r="F196" i="2" s="1"/>
  <c r="G179" i="2"/>
  <c r="F179" i="2" s="1"/>
  <c r="G182" i="2"/>
  <c r="F182" i="2" s="1"/>
  <c r="G181" i="2"/>
  <c r="F181" i="2" s="1"/>
  <c r="G180" i="2"/>
  <c r="F180" i="2" s="1"/>
  <c r="F220" i="2"/>
  <c r="F221" i="2"/>
  <c r="F219" i="2"/>
  <c r="F225" i="2"/>
  <c r="C225" i="2" s="1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66" i="2"/>
  <c r="F213" i="2"/>
  <c r="F205" i="2"/>
  <c r="F197" i="2"/>
  <c r="F189" i="2"/>
  <c r="F173" i="2"/>
  <c r="F208" i="2"/>
  <c r="F184" i="2"/>
  <c r="F168" i="2"/>
  <c r="C168" i="2" s="1"/>
  <c r="F212" i="2"/>
  <c r="F204" i="2"/>
  <c r="F188" i="2"/>
  <c r="F172" i="2"/>
  <c r="F209" i="2"/>
  <c r="F169" i="2"/>
  <c r="F211" i="2"/>
  <c r="F203" i="2"/>
  <c r="F187" i="2"/>
  <c r="F171" i="2"/>
  <c r="F217" i="2"/>
  <c r="F201" i="2"/>
  <c r="F177" i="2"/>
  <c r="F216" i="2"/>
  <c r="F200" i="2"/>
  <c r="F176" i="2"/>
  <c r="F218" i="2"/>
  <c r="F210" i="2"/>
  <c r="F202" i="2"/>
  <c r="F194" i="2"/>
  <c r="F186" i="2"/>
  <c r="F178" i="2"/>
  <c r="F170" i="2"/>
  <c r="F185" i="2"/>
  <c r="F215" i="2"/>
  <c r="F207" i="2"/>
  <c r="F199" i="2"/>
  <c r="F191" i="2"/>
  <c r="F183" i="2"/>
  <c r="F175" i="2"/>
  <c r="F214" i="2"/>
  <c r="F206" i="2"/>
  <c r="F198" i="2"/>
  <c r="F190" i="2"/>
  <c r="F174" i="2"/>
  <c r="C36" i="2" a="1"/>
  <c r="C36" i="2" s="1"/>
  <c r="G36" i="2" a="1"/>
  <c r="G36" i="2" s="1"/>
  <c r="K29" i="2"/>
  <c r="D36" i="2" a="1"/>
  <c r="D36" i="2" s="1"/>
  <c r="K32" i="2"/>
  <c r="F36" i="2" a="1"/>
  <c r="F36" i="2" s="1"/>
  <c r="C174" i="2" l="1"/>
  <c r="C209" i="2"/>
  <c r="C198" i="2"/>
  <c r="C221" i="2"/>
  <c r="C201" i="2"/>
  <c r="C170" i="2"/>
  <c r="C192" i="2"/>
  <c r="C183" i="2"/>
  <c r="C196" i="2"/>
  <c r="C208" i="2"/>
  <c r="C178" i="2"/>
  <c r="C171" i="2"/>
  <c r="E171" i="2" s="1" a="1"/>
  <c r="E171" i="2" s="1"/>
  <c r="C207" i="2"/>
  <c r="E207" i="2" s="1" a="1"/>
  <c r="E207" i="2" s="1"/>
  <c r="F208" i="1" s="1"/>
  <c r="F226" i="1" s="1"/>
  <c r="C204" i="2"/>
  <c r="C173" i="2"/>
  <c r="C217" i="2"/>
  <c r="C186" i="2"/>
  <c r="C179" i="2"/>
  <c r="E179" i="2" s="1" a="1"/>
  <c r="E179" i="2" s="1"/>
  <c r="F99" i="1" s="1"/>
  <c r="C212" i="2"/>
  <c r="C181" i="2"/>
  <c r="C184" i="2"/>
  <c r="C182" i="2"/>
  <c r="C194" i="2"/>
  <c r="C187" i="2"/>
  <c r="C216" i="2"/>
  <c r="C220" i="2"/>
  <c r="C189" i="2"/>
  <c r="C169" i="2"/>
  <c r="C190" i="2"/>
  <c r="C202" i="2"/>
  <c r="C195" i="2"/>
  <c r="C206" i="2"/>
  <c r="C197" i="2"/>
  <c r="C177" i="2"/>
  <c r="C214" i="2"/>
  <c r="C210" i="2"/>
  <c r="C203" i="2"/>
  <c r="C172" i="2"/>
  <c r="C175" i="2"/>
  <c r="C205" i="2"/>
  <c r="C185" i="2"/>
  <c r="C191" i="2"/>
  <c r="C218" i="2"/>
  <c r="C211" i="2"/>
  <c r="C180" i="2"/>
  <c r="C199" i="2"/>
  <c r="C213" i="2"/>
  <c r="C193" i="2"/>
  <c r="C200" i="2"/>
  <c r="C215" i="2"/>
  <c r="C219" i="2"/>
  <c r="C188" i="2"/>
  <c r="C176" i="2"/>
  <c r="C228" i="2"/>
  <c r="E228" i="2" s="1" a="1"/>
  <c r="E228" i="2" s="1"/>
  <c r="C227" i="2"/>
  <c r="D227" i="2" s="1" a="1"/>
  <c r="D227" i="2" s="1"/>
  <c r="C226" i="2"/>
  <c r="E226" i="2" s="1" a="1"/>
  <c r="E226" i="2" s="1"/>
  <c r="C232" i="2"/>
  <c r="E232" i="2" s="1" a="1"/>
  <c r="E232" i="2" s="1"/>
  <c r="F104" i="1" s="1"/>
  <c r="C252" i="2"/>
  <c r="D252" i="2" s="1" a="1"/>
  <c r="D252" i="2" s="1"/>
  <c r="E196" i="1" s="1"/>
  <c r="C240" i="2"/>
  <c r="E240" i="2" s="1" a="1"/>
  <c r="E240" i="2" s="1"/>
  <c r="F112" i="1" s="1"/>
  <c r="C248" i="2"/>
  <c r="D248" i="2" s="1" a="1"/>
  <c r="D248" i="2" s="1"/>
  <c r="E192" i="1" s="1"/>
  <c r="C253" i="2"/>
  <c r="E253" i="2" s="1" a="1"/>
  <c r="E253" i="2" s="1"/>
  <c r="F197" i="1" s="1"/>
  <c r="C231" i="2"/>
  <c r="D231" i="2" s="1" a="1"/>
  <c r="D231" i="2" s="1"/>
  <c r="C239" i="2"/>
  <c r="D239" i="2" s="1" a="1"/>
  <c r="D239" i="2" s="1"/>
  <c r="E111" i="1" s="1"/>
  <c r="C237" i="2"/>
  <c r="E237" i="2" s="1" a="1"/>
  <c r="E237" i="2" s="1"/>
  <c r="F109" i="1" s="1"/>
  <c r="C229" i="2"/>
  <c r="D229" i="2" s="1" a="1"/>
  <c r="D229" i="2" s="1"/>
  <c r="C256" i="2"/>
  <c r="C244" i="2"/>
  <c r="C236" i="2"/>
  <c r="C235" i="2"/>
  <c r="C255" i="2"/>
  <c r="C251" i="2"/>
  <c r="C247" i="2"/>
  <c r="C243" i="2"/>
  <c r="C258" i="2"/>
  <c r="C254" i="2"/>
  <c r="C250" i="2"/>
  <c r="C246" i="2"/>
  <c r="C242" i="2"/>
  <c r="C234" i="2"/>
  <c r="C238" i="2"/>
  <c r="C230" i="2"/>
  <c r="D168" i="2" a="1"/>
  <c r="D168" i="2" s="1"/>
  <c r="E168" i="2" a="1"/>
  <c r="E168" i="2" s="1"/>
  <c r="C241" i="2"/>
  <c r="C233" i="2"/>
  <c r="C257" i="2"/>
  <c r="C249" i="2"/>
  <c r="C245" i="2"/>
  <c r="D225" i="2" a="1"/>
  <c r="D225" i="2" s="1"/>
  <c r="E225" i="2" a="1"/>
  <c r="E225" i="2" s="1"/>
  <c r="E36" i="2"/>
  <c r="I29" i="2"/>
  <c r="H36" i="2"/>
  <c r="I32" i="2"/>
  <c r="J32" i="2" s="1"/>
  <c r="E59" i="1" l="1"/>
  <c r="E65" i="1" s="1"/>
  <c r="E221" i="2" a="1"/>
  <c r="E221" i="2" s="1"/>
  <c r="D221" i="2" a="1"/>
  <c r="D221" i="2" s="1"/>
  <c r="E220" i="2" a="1"/>
  <c r="E220" i="2" s="1"/>
  <c r="F255" i="1" s="1"/>
  <c r="D220" i="2" a="1"/>
  <c r="D220" i="2" s="1"/>
  <c r="E255" i="1" s="1"/>
  <c r="D219" i="2" a="1"/>
  <c r="D219" i="2" s="1"/>
  <c r="E254" i="1" s="1"/>
  <c r="E219" i="2" a="1"/>
  <c r="E219" i="2" s="1"/>
  <c r="F254" i="1" s="1"/>
  <c r="E54" i="1"/>
  <c r="E58" i="1"/>
  <c r="F52" i="1"/>
  <c r="F55" i="1"/>
  <c r="F49" i="1"/>
  <c r="E56" i="1"/>
  <c r="F54" i="1"/>
  <c r="E49" i="1"/>
  <c r="F57" i="1"/>
  <c r="E227" i="2" a="1"/>
  <c r="E227" i="2" s="1"/>
  <c r="D232" i="2" a="1"/>
  <c r="D232" i="2" s="1"/>
  <c r="E104" i="1" s="1"/>
  <c r="D226" i="2" a="1"/>
  <c r="D226" i="2" s="1"/>
  <c r="D237" i="2" a="1"/>
  <c r="D237" i="2" s="1"/>
  <c r="E109" i="1" s="1"/>
  <c r="E252" i="2" a="1"/>
  <c r="E252" i="2" s="1"/>
  <c r="F196" i="1" s="1"/>
  <c r="D240" i="2" a="1"/>
  <c r="D240" i="2" s="1"/>
  <c r="E112" i="1" s="1"/>
  <c r="D171" i="2" a="1"/>
  <c r="D171" i="2" s="1"/>
  <c r="D228" i="2" a="1"/>
  <c r="D228" i="2" s="1"/>
  <c r="E231" i="2" a="1"/>
  <c r="E231" i="2" s="1"/>
  <c r="F59" i="1" s="1"/>
  <c r="F65" i="1" s="1"/>
  <c r="E248" i="2" a="1"/>
  <c r="E248" i="2" s="1"/>
  <c r="F192" i="1" s="1"/>
  <c r="D179" i="2" a="1"/>
  <c r="D179" i="2" s="1"/>
  <c r="E99" i="1" s="1"/>
  <c r="D253" i="2" a="1"/>
  <c r="D253" i="2" s="1"/>
  <c r="E197" i="1" s="1"/>
  <c r="D207" i="2" a="1"/>
  <c r="D207" i="2" s="1"/>
  <c r="E239" i="2" a="1"/>
  <c r="E239" i="2" s="1"/>
  <c r="F111" i="1" s="1"/>
  <c r="E229" i="2" a="1"/>
  <c r="E229" i="2" s="1"/>
  <c r="D198" i="2" a="1"/>
  <c r="D198" i="2" s="1"/>
  <c r="E185" i="1" s="1"/>
  <c r="E198" i="2" a="1"/>
  <c r="E198" i="2" s="1"/>
  <c r="F185" i="1" s="1"/>
  <c r="D245" i="2" a="1"/>
  <c r="D245" i="2" s="1"/>
  <c r="E189" i="1" s="1"/>
  <c r="E245" i="2" a="1"/>
  <c r="E245" i="2" s="1"/>
  <c r="F189" i="1" s="1"/>
  <c r="E258" i="2" a="1"/>
  <c r="E258" i="2" s="1"/>
  <c r="F202" i="1" s="1"/>
  <c r="D258" i="2" a="1"/>
  <c r="D258" i="2" s="1"/>
  <c r="E202" i="1" s="1"/>
  <c r="E169" i="2" a="1"/>
  <c r="E169" i="2" s="1"/>
  <c r="D169" i="2" a="1"/>
  <c r="D169" i="2" s="1"/>
  <c r="D175" i="2" a="1"/>
  <c r="D175" i="2" s="1"/>
  <c r="E95" i="1" s="1"/>
  <c r="E175" i="2" a="1"/>
  <c r="E175" i="2" s="1"/>
  <c r="F95" i="1" s="1"/>
  <c r="E186" i="2" a="1"/>
  <c r="E186" i="2" s="1"/>
  <c r="F116" i="1" s="1"/>
  <c r="F126" i="1" s="1"/>
  <c r="D186" i="2" a="1"/>
  <c r="D186" i="2" s="1"/>
  <c r="E201" i="2" a="1"/>
  <c r="E201" i="2" s="1"/>
  <c r="F188" i="1" s="1"/>
  <c r="D201" i="2" a="1"/>
  <c r="D201" i="2" s="1"/>
  <c r="E188" i="1" s="1"/>
  <c r="D199" i="2" a="1"/>
  <c r="D199" i="2" s="1"/>
  <c r="E186" i="1" s="1"/>
  <c r="E199" i="2" a="1"/>
  <c r="E199" i="2" s="1"/>
  <c r="F186" i="1" s="1"/>
  <c r="E193" i="2" a="1"/>
  <c r="E193" i="2" s="1"/>
  <c r="F180" i="1" s="1"/>
  <c r="D193" i="2" a="1"/>
  <c r="D193" i="2" s="1"/>
  <c r="E180" i="1" s="1"/>
  <c r="E249" i="2" a="1"/>
  <c r="E249" i="2" s="1"/>
  <c r="F193" i="1" s="1"/>
  <c r="D249" i="2" a="1"/>
  <c r="D249" i="2" s="1"/>
  <c r="E193" i="1" s="1"/>
  <c r="D241" i="2" a="1"/>
  <c r="D241" i="2" s="1"/>
  <c r="E241" i="2" a="1"/>
  <c r="E241" i="2" s="1"/>
  <c r="I119" i="1" s="1"/>
  <c r="I129" i="1" s="1"/>
  <c r="D251" i="2" a="1"/>
  <c r="D251" i="2" s="1"/>
  <c r="E195" i="1" s="1"/>
  <c r="E251" i="2" a="1"/>
  <c r="E251" i="2" s="1"/>
  <c r="F195" i="1" s="1"/>
  <c r="D236" i="2" a="1"/>
  <c r="D236" i="2" s="1"/>
  <c r="E108" i="1" s="1"/>
  <c r="E236" i="2" a="1"/>
  <c r="E236" i="2" s="1"/>
  <c r="F108" i="1" s="1"/>
  <c r="D206" i="2" a="1"/>
  <c r="D206" i="2" s="1"/>
  <c r="E206" i="2" a="1"/>
  <c r="E206" i="2" s="1"/>
  <c r="F209" i="1" s="1"/>
  <c r="F227" i="1" s="1"/>
  <c r="D247" i="2" a="1"/>
  <c r="D247" i="2" s="1"/>
  <c r="E191" i="1" s="1"/>
  <c r="E247" i="2" a="1"/>
  <c r="E247" i="2" s="1"/>
  <c r="F191" i="1" s="1"/>
  <c r="D184" i="2" a="1"/>
  <c r="D184" i="2" s="1"/>
  <c r="E184" i="2" a="1"/>
  <c r="E184" i="2" s="1"/>
  <c r="I120" i="1" s="1"/>
  <c r="I130" i="1" s="1"/>
  <c r="D190" i="2" a="1"/>
  <c r="D190" i="2" s="1"/>
  <c r="E177" i="1" s="1"/>
  <c r="E190" i="2" a="1"/>
  <c r="E190" i="2" s="1"/>
  <c r="F177" i="1" s="1"/>
  <c r="E209" i="2" a="1"/>
  <c r="E209" i="2" s="1"/>
  <c r="F204" i="1" s="1"/>
  <c r="F222" i="1" s="1"/>
  <c r="D209" i="2" a="1"/>
  <c r="D209" i="2" s="1"/>
  <c r="E216" i="2" a="1"/>
  <c r="E216" i="2" s="1"/>
  <c r="F251" i="1" s="1"/>
  <c r="D216" i="2" a="1"/>
  <c r="D216" i="2" s="1"/>
  <c r="E251" i="1" s="1"/>
  <c r="E204" i="2" a="1"/>
  <c r="E204" i="2" s="1"/>
  <c r="I213" i="1" s="1"/>
  <c r="I231" i="1" s="1"/>
  <c r="D204" i="2" a="1"/>
  <c r="D204" i="2" s="1"/>
  <c r="D197" i="2" a="1"/>
  <c r="D197" i="2" s="1"/>
  <c r="E184" i="1" s="1"/>
  <c r="E197" i="2" a="1"/>
  <c r="E197" i="2" s="1"/>
  <c r="F184" i="1" s="1"/>
  <c r="D257" i="2" a="1"/>
  <c r="D257" i="2" s="1"/>
  <c r="E201" i="1" s="1"/>
  <c r="E257" i="2" a="1"/>
  <c r="E257" i="2" s="1"/>
  <c r="F201" i="1" s="1"/>
  <c r="D255" i="2" a="1"/>
  <c r="D255" i="2" s="1"/>
  <c r="E199" i="1" s="1"/>
  <c r="E255" i="2" a="1"/>
  <c r="E255" i="2" s="1"/>
  <c r="F199" i="1" s="1"/>
  <c r="D235" i="2" a="1"/>
  <c r="D235" i="2" s="1"/>
  <c r="E107" i="1" s="1"/>
  <c r="E235" i="2" a="1"/>
  <c r="E235" i="2" s="1"/>
  <c r="F107" i="1" s="1"/>
  <c r="E244" i="2" a="1"/>
  <c r="E244" i="2" s="1"/>
  <c r="F114" i="1" s="1"/>
  <c r="F124" i="1" s="1"/>
  <c r="D244" i="2" a="1"/>
  <c r="D244" i="2" s="1"/>
  <c r="E200" i="2" a="1"/>
  <c r="E200" i="2" s="1"/>
  <c r="F187" i="1" s="1"/>
  <c r="D200" i="2" a="1"/>
  <c r="D200" i="2" s="1"/>
  <c r="E187" i="1" s="1"/>
  <c r="E177" i="2" a="1"/>
  <c r="E177" i="2" s="1"/>
  <c r="F97" i="1" s="1"/>
  <c r="D177" i="2" a="1"/>
  <c r="D177" i="2" s="1"/>
  <c r="E97" i="1" s="1"/>
  <c r="D181" i="2" a="1"/>
  <c r="D181" i="2" s="1"/>
  <c r="E101" i="1" s="1"/>
  <c r="E181" i="2" a="1"/>
  <c r="E181" i="2" s="1"/>
  <c r="F101" i="1" s="1"/>
  <c r="E211" i="2" a="1"/>
  <c r="E211" i="2" s="1"/>
  <c r="F246" i="1" s="1"/>
  <c r="D211" i="2" a="1"/>
  <c r="D211" i="2" s="1"/>
  <c r="E246" i="1" s="1"/>
  <c r="D189" i="2" a="1"/>
  <c r="D189" i="2" s="1"/>
  <c r="E176" i="1" s="1"/>
  <c r="E189" i="2" a="1"/>
  <c r="E189" i="2" s="1"/>
  <c r="F176" i="1" s="1"/>
  <c r="D215" i="2" a="1"/>
  <c r="D215" i="2" s="1"/>
  <c r="E250" i="1" s="1"/>
  <c r="E215" i="2" a="1"/>
  <c r="E215" i="2" s="1"/>
  <c r="F250" i="1" s="1"/>
  <c r="D208" i="2" a="1"/>
  <c r="D208" i="2" s="1"/>
  <c r="E208" i="2" a="1"/>
  <c r="E208" i="2" s="1"/>
  <c r="F205" i="1" s="1"/>
  <c r="F223" i="1" s="1"/>
  <c r="D234" i="2" a="1"/>
  <c r="D234" i="2" s="1"/>
  <c r="E106" i="1" s="1"/>
  <c r="E234" i="2" a="1"/>
  <c r="E234" i="2" s="1"/>
  <c r="F106" i="1" s="1"/>
  <c r="E256" i="2" a="1"/>
  <c r="E256" i="2" s="1"/>
  <c r="F200" i="1" s="1"/>
  <c r="D256" i="2" a="1"/>
  <c r="D256" i="2" s="1"/>
  <c r="E200" i="1" s="1"/>
  <c r="E203" i="2" a="1"/>
  <c r="E203" i="2" s="1"/>
  <c r="I216" i="1" s="1"/>
  <c r="I234" i="1" s="1"/>
  <c r="D203" i="2" a="1"/>
  <c r="D203" i="2" s="1"/>
  <c r="E238" i="2" a="1"/>
  <c r="E238" i="2" s="1"/>
  <c r="F110" i="1" s="1"/>
  <c r="D238" i="2" a="1"/>
  <c r="D238" i="2" s="1"/>
  <c r="E110" i="1" s="1"/>
  <c r="D214" i="2" a="1"/>
  <c r="D214" i="2" s="1"/>
  <c r="E249" i="1" s="1"/>
  <c r="E214" i="2" a="1"/>
  <c r="E214" i="2" s="1"/>
  <c r="F249" i="1" s="1"/>
  <c r="D183" i="2" a="1"/>
  <c r="D183" i="2" s="1"/>
  <c r="E103" i="1" s="1"/>
  <c r="E183" i="2" a="1"/>
  <c r="E183" i="2" s="1"/>
  <c r="F103" i="1" s="1"/>
  <c r="E194" i="2" a="1"/>
  <c r="E194" i="2" s="1"/>
  <c r="F181" i="1" s="1"/>
  <c r="D194" i="2" a="1"/>
  <c r="D194" i="2" s="1"/>
  <c r="E181" i="1" s="1"/>
  <c r="D174" i="2" a="1"/>
  <c r="D174" i="2" s="1"/>
  <c r="E174" i="2" a="1"/>
  <c r="E174" i="2" s="1"/>
  <c r="F60" i="1" s="1"/>
  <c r="F66" i="1" s="1"/>
  <c r="E212" i="2" a="1"/>
  <c r="E212" i="2" s="1"/>
  <c r="F247" i="1" s="1"/>
  <c r="D212" i="2" a="1"/>
  <c r="D212" i="2" s="1"/>
  <c r="E247" i="1" s="1"/>
  <c r="D242" i="2" a="1"/>
  <c r="D242" i="2" s="1"/>
  <c r="E242" i="2" a="1"/>
  <c r="E242" i="2" s="1"/>
  <c r="I118" i="1" s="1"/>
  <c r="I128" i="1" s="1"/>
  <c r="E188" i="2" a="1"/>
  <c r="E188" i="2" s="1"/>
  <c r="F175" i="1" s="1"/>
  <c r="D188" i="2" a="1"/>
  <c r="D188" i="2" s="1"/>
  <c r="E175" i="1" s="1"/>
  <c r="D213" i="2" a="1"/>
  <c r="D213" i="2" s="1"/>
  <c r="E248" i="1" s="1"/>
  <c r="E213" i="2" a="1"/>
  <c r="E213" i="2" s="1"/>
  <c r="F248" i="1" s="1"/>
  <c r="D205" i="2" a="1"/>
  <c r="D205" i="2" s="1"/>
  <c r="E205" i="2" a="1"/>
  <c r="E205" i="2" s="1"/>
  <c r="I212" i="1" s="1"/>
  <c r="I230" i="1" s="1"/>
  <c r="E170" i="2" a="1"/>
  <c r="E170" i="2" s="1"/>
  <c r="D170" i="2" a="1"/>
  <c r="D170" i="2" s="1"/>
  <c r="E187" i="2" a="1"/>
  <c r="E187" i="2" s="1"/>
  <c r="F113" i="1" s="1"/>
  <c r="F123" i="1" s="1"/>
  <c r="D187" i="2" a="1"/>
  <c r="D187" i="2" s="1"/>
  <c r="E246" i="2" a="1"/>
  <c r="E246" i="2" s="1"/>
  <c r="F190" i="1" s="1"/>
  <c r="D246" i="2" a="1"/>
  <c r="D246" i="2" s="1"/>
  <c r="E190" i="1" s="1"/>
  <c r="E210" i="2" a="1"/>
  <c r="E210" i="2" s="1"/>
  <c r="F245" i="1" s="1"/>
  <c r="D210" i="2" a="1"/>
  <c r="D210" i="2" s="1"/>
  <c r="E245" i="1" s="1"/>
  <c r="D233" i="2" a="1"/>
  <c r="D233" i="2" s="1"/>
  <c r="E105" i="1" s="1"/>
  <c r="E233" i="2" a="1"/>
  <c r="E233" i="2" s="1"/>
  <c r="F105" i="1" s="1"/>
  <c r="E192" i="2" a="1"/>
  <c r="E192" i="2" s="1"/>
  <c r="F179" i="1" s="1"/>
  <c r="D192" i="2" a="1"/>
  <c r="D192" i="2" s="1"/>
  <c r="E179" i="1" s="1"/>
  <c r="D191" i="2" a="1"/>
  <c r="D191" i="2" s="1"/>
  <c r="E178" i="1" s="1"/>
  <c r="E191" i="2" a="1"/>
  <c r="E191" i="2" s="1"/>
  <c r="F178" i="1" s="1"/>
  <c r="E195" i="2" a="1"/>
  <c r="E195" i="2" s="1"/>
  <c r="F182" i="1" s="1"/>
  <c r="D195" i="2" a="1"/>
  <c r="D195" i="2" s="1"/>
  <c r="E182" i="1" s="1"/>
  <c r="D173" i="2" a="1"/>
  <c r="D173" i="2" s="1"/>
  <c r="E173" i="2" a="1"/>
  <c r="E173" i="2" s="1"/>
  <c r="I61" i="1" s="1"/>
  <c r="I67" i="1" s="1"/>
  <c r="E180" i="2" a="1"/>
  <c r="E180" i="2" s="1"/>
  <c r="F100" i="1" s="1"/>
  <c r="D180" i="2" a="1"/>
  <c r="D180" i="2" s="1"/>
  <c r="E100" i="1" s="1"/>
  <c r="E172" i="2" a="1"/>
  <c r="E172" i="2" s="1"/>
  <c r="F53" i="1" s="1"/>
  <c r="D172" i="2" a="1"/>
  <c r="D172" i="2" s="1"/>
  <c r="E53" i="1" s="1"/>
  <c r="E250" i="2" a="1"/>
  <c r="E250" i="2" s="1"/>
  <c r="F194" i="1" s="1"/>
  <c r="D250" i="2" a="1"/>
  <c r="D250" i="2" s="1"/>
  <c r="E194" i="1" s="1"/>
  <c r="D182" i="2" a="1"/>
  <c r="D182" i="2" s="1"/>
  <c r="E102" i="1" s="1"/>
  <c r="E182" i="2" a="1"/>
  <c r="E182" i="2" s="1"/>
  <c r="F102" i="1" s="1"/>
  <c r="E217" i="2" a="1"/>
  <c r="E217" i="2" s="1"/>
  <c r="F252" i="1" s="1"/>
  <c r="D217" i="2" a="1"/>
  <c r="D217" i="2" s="1"/>
  <c r="E252" i="1" s="1"/>
  <c r="E202" i="2" a="1"/>
  <c r="E202" i="2" s="1"/>
  <c r="I217" i="1" s="1"/>
  <c r="I235" i="1" s="1"/>
  <c r="D202" i="2" a="1"/>
  <c r="D202" i="2" s="1"/>
  <c r="E196" i="2" a="1"/>
  <c r="E196" i="2" s="1"/>
  <c r="F183" i="1" s="1"/>
  <c r="D196" i="2" a="1"/>
  <c r="D196" i="2" s="1"/>
  <c r="E183" i="1" s="1"/>
  <c r="E176" i="2" a="1"/>
  <c r="E176" i="2" s="1"/>
  <c r="F96" i="1" s="1"/>
  <c r="D176" i="2" a="1"/>
  <c r="D176" i="2" s="1"/>
  <c r="E96" i="1" s="1"/>
  <c r="E178" i="2" a="1"/>
  <c r="E178" i="2" s="1"/>
  <c r="F98" i="1" s="1"/>
  <c r="D178" i="2" a="1"/>
  <c r="D178" i="2" s="1"/>
  <c r="E98" i="1" s="1"/>
  <c r="E185" i="2" a="1"/>
  <c r="E185" i="2" s="1"/>
  <c r="I117" i="1" s="1"/>
  <c r="I127" i="1" s="1"/>
  <c r="D185" i="2" a="1"/>
  <c r="D185" i="2" s="1"/>
  <c r="E218" i="2" a="1"/>
  <c r="E218" i="2" s="1"/>
  <c r="F253" i="1" s="1"/>
  <c r="D218" i="2" a="1"/>
  <c r="D218" i="2" s="1"/>
  <c r="E253" i="1" s="1"/>
  <c r="D230" i="2" a="1"/>
  <c r="D230" i="2" s="1"/>
  <c r="E230" i="2" a="1"/>
  <c r="E230" i="2" s="1"/>
  <c r="I62" i="1" s="1"/>
  <c r="I68" i="1" s="1"/>
  <c r="E254" i="2" a="1"/>
  <c r="E254" i="2" s="1"/>
  <c r="F198" i="1" s="1"/>
  <c r="D254" i="2" a="1"/>
  <c r="D254" i="2" s="1"/>
  <c r="E198" i="1" s="1"/>
  <c r="D243" i="2" a="1"/>
  <c r="D243" i="2" s="1"/>
  <c r="E243" i="2" a="1"/>
  <c r="E243" i="2" s="1"/>
  <c r="F115" i="1" s="1"/>
  <c r="F125" i="1" s="1"/>
  <c r="I33" i="2"/>
  <c r="I34" i="2" s="1"/>
  <c r="J29" i="2"/>
  <c r="I30" i="2"/>
  <c r="E115" i="1" l="1"/>
  <c r="E125" i="1" s="1"/>
  <c r="H217" i="1"/>
  <c r="H235" i="1" s="1"/>
  <c r="E60" i="1"/>
  <c r="E66" i="1" s="1"/>
  <c r="E113" i="1"/>
  <c r="E123" i="1" s="1"/>
  <c r="H119" i="1"/>
  <c r="H129" i="1" s="1"/>
  <c r="H216" i="1"/>
  <c r="H234" i="1" s="1"/>
  <c r="E204" i="1"/>
  <c r="E222" i="1" s="1"/>
  <c r="E116" i="1"/>
  <c r="E126" i="1" s="1"/>
  <c r="H213" i="1"/>
  <c r="H231" i="1" s="1"/>
  <c r="H62" i="1"/>
  <c r="H68" i="1" s="1"/>
  <c r="H61" i="1"/>
  <c r="H67" i="1" s="1"/>
  <c r="H118" i="1"/>
  <c r="H128" i="1" s="1"/>
  <c r="E209" i="1"/>
  <c r="E227" i="1" s="1"/>
  <c r="E114" i="1"/>
  <c r="E124" i="1" s="1"/>
  <c r="H117" i="1"/>
  <c r="H127" i="1" s="1"/>
  <c r="E205" i="1"/>
  <c r="E223" i="1" s="1"/>
  <c r="H120" i="1"/>
  <c r="H130" i="1" s="1"/>
  <c r="E208" i="1"/>
  <c r="E226" i="1" s="1"/>
  <c r="H212" i="1"/>
  <c r="H230" i="1" s="1"/>
  <c r="F50" i="1"/>
  <c r="E51" i="1"/>
  <c r="E55" i="1"/>
  <c r="F51" i="1"/>
  <c r="F56" i="1"/>
  <c r="E57" i="1"/>
  <c r="E50" i="1"/>
  <c r="F58" i="1"/>
  <c r="E52" i="1"/>
  <c r="I31" i="2"/>
  <c r="G42" i="2" s="1"/>
  <c r="F42" i="2" s="1"/>
  <c r="G146" i="2"/>
  <c r="F146" i="2" s="1"/>
  <c r="G138" i="2"/>
  <c r="F138" i="2" s="1"/>
  <c r="G145" i="2"/>
  <c r="F145" i="2" s="1"/>
  <c r="G139" i="2"/>
  <c r="F139" i="2" s="1"/>
  <c r="G119" i="2"/>
  <c r="F119" i="2" s="1"/>
  <c r="G147" i="2"/>
  <c r="F147" i="2" s="1"/>
  <c r="G112" i="2"/>
  <c r="F112" i="2" s="1"/>
  <c r="G157" i="2"/>
  <c r="F157" i="2" s="1"/>
  <c r="G129" i="2"/>
  <c r="F129" i="2" s="1"/>
  <c r="G127" i="2"/>
  <c r="F127" i="2" s="1"/>
  <c r="G144" i="2"/>
  <c r="F144" i="2" s="1"/>
  <c r="G109" i="2"/>
  <c r="F109" i="2" s="1"/>
  <c r="G161" i="2"/>
  <c r="F161" i="2" s="1"/>
  <c r="G156" i="2"/>
  <c r="F156" i="2" s="1"/>
  <c r="G118" i="2"/>
  <c r="F118" i="2" s="1"/>
  <c r="G132" i="2"/>
  <c r="F132" i="2" s="1"/>
  <c r="G105" i="2"/>
  <c r="F105" i="2" s="1"/>
  <c r="G141" i="2"/>
  <c r="F141" i="2" s="1"/>
  <c r="G124" i="2"/>
  <c r="F124" i="2" s="1"/>
  <c r="G149" i="2"/>
  <c r="F149" i="2" s="1"/>
  <c r="G120" i="2"/>
  <c r="F120" i="2" s="1"/>
  <c r="G137" i="2"/>
  <c r="F137" i="2" s="1"/>
  <c r="G110" i="2"/>
  <c r="F110" i="2" s="1"/>
  <c r="G143" i="2"/>
  <c r="F143" i="2" s="1"/>
  <c r="G106" i="2"/>
  <c r="F106" i="2" s="1"/>
  <c r="G122" i="2"/>
  <c r="F122" i="2" s="1"/>
  <c r="G101" i="2"/>
  <c r="F101" i="2" s="1"/>
  <c r="G134" i="2"/>
  <c r="F134" i="2" s="1"/>
  <c r="G164" i="2"/>
  <c r="F164" i="2" s="1"/>
  <c r="G154" i="2"/>
  <c r="F154" i="2" s="1"/>
  <c r="G133" i="2"/>
  <c r="F133" i="2" s="1"/>
  <c r="G115" i="2"/>
  <c r="F115" i="2" s="1"/>
  <c r="G151" i="2"/>
  <c r="F151" i="2" s="1"/>
  <c r="G123" i="2"/>
  <c r="F123" i="2" s="1"/>
  <c r="G135" i="2"/>
  <c r="F135" i="2" s="1"/>
  <c r="G116" i="2"/>
  <c r="F116" i="2" s="1"/>
  <c r="J33" i="2"/>
  <c r="G82" i="2" s="1"/>
  <c r="F82" i="2" s="1"/>
  <c r="G114" i="2"/>
  <c r="F114" i="2" s="1"/>
  <c r="G121" i="2"/>
  <c r="F121" i="2" s="1"/>
  <c r="G104" i="2"/>
  <c r="F104" i="2" s="1"/>
  <c r="G103" i="2"/>
  <c r="F103" i="2" s="1"/>
  <c r="G160" i="2"/>
  <c r="F160" i="2" s="1"/>
  <c r="G117" i="2"/>
  <c r="F117" i="2" s="1"/>
  <c r="G97" i="2"/>
  <c r="F97" i="2" s="1"/>
  <c r="G107" i="2"/>
  <c r="F107" i="2" s="1"/>
  <c r="G148" i="2"/>
  <c r="F148" i="2" s="1"/>
  <c r="G128" i="2"/>
  <c r="F128" i="2" s="1"/>
  <c r="G99" i="2"/>
  <c r="F99" i="2" s="1"/>
  <c r="G131" i="2"/>
  <c r="F131" i="2" s="1"/>
  <c r="G150" i="2"/>
  <c r="F150" i="2" s="1"/>
  <c r="G51" i="2"/>
  <c r="F51" i="2" s="1"/>
  <c r="G108" i="2"/>
  <c r="F108" i="2" s="1"/>
  <c r="G155" i="2"/>
  <c r="F155" i="2" s="1"/>
  <c r="G95" i="2"/>
  <c r="F95" i="2" s="1"/>
  <c r="G130" i="2"/>
  <c r="F130" i="2" s="1"/>
  <c r="G111" i="2"/>
  <c r="F111" i="2" s="1"/>
  <c r="G162" i="2"/>
  <c r="F162" i="2" s="1"/>
  <c r="G50" i="2"/>
  <c r="F50" i="2" s="1"/>
  <c r="G140" i="2"/>
  <c r="F140" i="2" s="1"/>
  <c r="G152" i="2"/>
  <c r="F152" i="2" s="1"/>
  <c r="G113" i="2"/>
  <c r="F113" i="2" s="1"/>
  <c r="G100" i="2"/>
  <c r="F100" i="2" s="1"/>
  <c r="G125" i="2"/>
  <c r="F125" i="2" s="1"/>
  <c r="G163" i="2"/>
  <c r="F163" i="2" s="1"/>
  <c r="G98" i="2"/>
  <c r="F98" i="2" s="1"/>
  <c r="J30" i="2"/>
  <c r="G126" i="2"/>
  <c r="F126" i="2" s="1"/>
  <c r="G159" i="2"/>
  <c r="F159" i="2" s="1"/>
  <c r="G136" i="2"/>
  <c r="F136" i="2" s="1"/>
  <c r="G102" i="2"/>
  <c r="F102" i="2" s="1"/>
  <c r="G158" i="2"/>
  <c r="F158" i="2" s="1"/>
  <c r="G153" i="2"/>
  <c r="F153" i="2" s="1"/>
  <c r="G142" i="2"/>
  <c r="F142" i="2" s="1"/>
  <c r="G49" i="2"/>
  <c r="F49" i="2" s="1"/>
  <c r="G52" i="2"/>
  <c r="F52" i="2" s="1"/>
  <c r="G94" i="2" l="1"/>
  <c r="F94" i="2" s="1"/>
  <c r="G48" i="2"/>
  <c r="F48" i="2" s="1"/>
  <c r="G46" i="2"/>
  <c r="F46" i="2" s="1"/>
  <c r="G73" i="2"/>
  <c r="F73" i="2" s="1"/>
  <c r="G41" i="2"/>
  <c r="F41" i="2" s="1"/>
  <c r="G43" i="2"/>
  <c r="F43" i="2" s="1"/>
  <c r="G75" i="2"/>
  <c r="F75" i="2" s="1"/>
  <c r="G47" i="2"/>
  <c r="F47" i="2" s="1"/>
  <c r="G44" i="2"/>
  <c r="F44" i="2" s="1"/>
  <c r="G76" i="2"/>
  <c r="F76" i="2" s="1"/>
  <c r="G96" i="2"/>
  <c r="F96" i="2" s="1"/>
  <c r="G45" i="2"/>
  <c r="F45" i="2" s="1"/>
  <c r="G65" i="2"/>
  <c r="F65" i="2" s="1"/>
  <c r="G60" i="2"/>
  <c r="F60" i="2" s="1"/>
  <c r="G72" i="2"/>
  <c r="F72" i="2" s="1"/>
  <c r="G74" i="2"/>
  <c r="F74" i="2" s="1"/>
  <c r="G69" i="2"/>
  <c r="F69" i="2" s="1"/>
  <c r="G62" i="2"/>
  <c r="F62" i="2" s="1"/>
  <c r="G66" i="2"/>
  <c r="F66" i="2" s="1"/>
  <c r="G70" i="2"/>
  <c r="F70" i="2" s="1"/>
  <c r="G68" i="2"/>
  <c r="F68" i="2" s="1"/>
  <c r="G71" i="2"/>
  <c r="F71" i="2" s="1"/>
  <c r="G63" i="2"/>
  <c r="F63" i="2" s="1"/>
  <c r="G67" i="2"/>
  <c r="F67" i="2" s="1"/>
  <c r="G61" i="2"/>
  <c r="F61" i="2" s="1"/>
  <c r="G64" i="2"/>
  <c r="F64" i="2" s="1"/>
  <c r="G93" i="2"/>
  <c r="F93" i="2" s="1"/>
  <c r="G59" i="2"/>
  <c r="F59" i="2" s="1"/>
  <c r="G88" i="2"/>
  <c r="F88" i="2" s="1"/>
  <c r="G80" i="2"/>
  <c r="F80" i="2" s="1"/>
  <c r="G85" i="2"/>
  <c r="F85" i="2" s="1"/>
  <c r="G81" i="2"/>
  <c r="F81" i="2" s="1"/>
  <c r="G84" i="2"/>
  <c r="F84" i="2" s="1"/>
  <c r="G58" i="2"/>
  <c r="F58" i="2" s="1"/>
  <c r="G56" i="2"/>
  <c r="F56" i="2" s="1"/>
  <c r="G57" i="2"/>
  <c r="F57" i="2" s="1"/>
  <c r="G87" i="2"/>
  <c r="F87" i="2" s="1"/>
  <c r="G91" i="2"/>
  <c r="F91" i="2" s="1"/>
  <c r="G90" i="2"/>
  <c r="F90" i="2" s="1"/>
  <c r="G92" i="2"/>
  <c r="F92" i="2" s="1"/>
  <c r="G89" i="2"/>
  <c r="F89" i="2" s="1"/>
  <c r="G79" i="2"/>
  <c r="F79" i="2" s="1"/>
  <c r="G78" i="2"/>
  <c r="F78" i="2" s="1"/>
  <c r="G77" i="2"/>
  <c r="F77" i="2" s="1"/>
  <c r="G86" i="2"/>
  <c r="F86" i="2" s="1"/>
  <c r="G83" i="2"/>
  <c r="F83" i="2" s="1"/>
  <c r="G54" i="2"/>
  <c r="F54" i="2" s="1"/>
  <c r="G55" i="2"/>
  <c r="F55" i="2" s="1"/>
  <c r="G53" i="2"/>
  <c r="F53" i="2" s="1"/>
  <c r="C59" i="2" l="1"/>
  <c r="E59" i="2" s="1" a="1"/>
  <c r="E59" i="2" s="1"/>
  <c r="F69" i="1" s="1"/>
  <c r="C60" i="2"/>
  <c r="D60" i="2" s="1" a="1"/>
  <c r="D60" i="2" s="1"/>
  <c r="E70" i="1" s="1"/>
  <c r="C48" i="2"/>
  <c r="C49" i="2"/>
  <c r="E49" i="2" s="1" a="1"/>
  <c r="E49" i="2" s="1"/>
  <c r="F43" i="1" s="1"/>
  <c r="C50" i="2"/>
  <c r="D50" i="2" s="1" a="1"/>
  <c r="D50" i="2" s="1"/>
  <c r="E44" i="1" s="1"/>
  <c r="C47" i="2"/>
  <c r="C46" i="2"/>
  <c r="C42" i="2"/>
  <c r="C45" i="2"/>
  <c r="C41" i="2"/>
  <c r="C44" i="2"/>
  <c r="C43" i="2"/>
  <c r="C51" i="2"/>
  <c r="D51" i="2" s="1" a="1"/>
  <c r="D51" i="2" s="1"/>
  <c r="E45" i="1" s="1"/>
  <c r="E60" i="2" a="1"/>
  <c r="E60" i="2" s="1"/>
  <c r="F70" i="1" s="1"/>
  <c r="C53" i="2"/>
  <c r="C52" i="2"/>
  <c r="C62" i="2"/>
  <c r="C54" i="2"/>
  <c r="C61" i="2"/>
  <c r="C74" i="2"/>
  <c r="C69" i="2"/>
  <c r="C93" i="2"/>
  <c r="C106" i="2"/>
  <c r="C72" i="2"/>
  <c r="C67" i="2"/>
  <c r="C75" i="2"/>
  <c r="C83" i="2"/>
  <c r="C122" i="2"/>
  <c r="C153" i="2"/>
  <c r="C64" i="2"/>
  <c r="C65" i="2"/>
  <c r="C160" i="2"/>
  <c r="C90" i="2"/>
  <c r="C152" i="2"/>
  <c r="C125" i="2"/>
  <c r="C132" i="2"/>
  <c r="C97" i="2"/>
  <c r="C144" i="2"/>
  <c r="C136" i="2"/>
  <c r="C161" i="2"/>
  <c r="C162" i="2"/>
  <c r="C55" i="2"/>
  <c r="C68" i="2"/>
  <c r="C99" i="2"/>
  <c r="C109" i="2"/>
  <c r="C127" i="2"/>
  <c r="C79" i="2"/>
  <c r="C77" i="2"/>
  <c r="C96" i="2"/>
  <c r="C91" i="2"/>
  <c r="C94" i="2"/>
  <c r="C139" i="2"/>
  <c r="C110" i="2"/>
  <c r="C130" i="2"/>
  <c r="C163" i="2"/>
  <c r="C150" i="2"/>
  <c r="C124" i="2"/>
  <c r="C138" i="2"/>
  <c r="C134" i="2"/>
  <c r="C146" i="2"/>
  <c r="C58" i="2"/>
  <c r="C159" i="2"/>
  <c r="C140" i="2"/>
  <c r="C118" i="2"/>
  <c r="C112" i="2"/>
  <c r="C164" i="2"/>
  <c r="C149" i="2"/>
  <c r="C117" i="2"/>
  <c r="C80" i="2"/>
  <c r="C148" i="2"/>
  <c r="C135" i="2"/>
  <c r="C73" i="2"/>
  <c r="C156" i="2"/>
  <c r="C76" i="2"/>
  <c r="C155" i="2"/>
  <c r="C103" i="2"/>
  <c r="C88" i="2"/>
  <c r="C89" i="2"/>
  <c r="C102" i="2"/>
  <c r="C107" i="2"/>
  <c r="C116" i="2"/>
  <c r="C115" i="2"/>
  <c r="C63" i="2"/>
  <c r="C151" i="2"/>
  <c r="C154" i="2"/>
  <c r="C120" i="2"/>
  <c r="C86" i="2"/>
  <c r="C113" i="2"/>
  <c r="C157" i="2"/>
  <c r="C147" i="2"/>
  <c r="C84" i="2"/>
  <c r="C123" i="2"/>
  <c r="C114" i="2"/>
  <c r="C101" i="2"/>
  <c r="C143" i="2"/>
  <c r="C85" i="2"/>
  <c r="C111" i="2"/>
  <c r="C92" i="2"/>
  <c r="C128" i="2"/>
  <c r="C126" i="2"/>
  <c r="C78" i="2"/>
  <c r="C121" i="2"/>
  <c r="C87" i="2"/>
  <c r="C145" i="2"/>
  <c r="C95" i="2"/>
  <c r="C98" i="2"/>
  <c r="C133" i="2"/>
  <c r="C105" i="2"/>
  <c r="C70" i="2"/>
  <c r="C82" i="2"/>
  <c r="C71" i="2"/>
  <c r="C104" i="2"/>
  <c r="C100" i="2"/>
  <c r="C141" i="2"/>
  <c r="C108" i="2"/>
  <c r="C66" i="2"/>
  <c r="C129" i="2"/>
  <c r="C56" i="2"/>
  <c r="C131" i="2"/>
  <c r="C158" i="2"/>
  <c r="C142" i="2"/>
  <c r="C57" i="2"/>
  <c r="C137" i="2"/>
  <c r="C81" i="2"/>
  <c r="C119" i="2"/>
  <c r="D59" i="2" l="1" a="1"/>
  <c r="D59" i="2" s="1"/>
  <c r="E69" i="1" s="1"/>
  <c r="D49" i="2" a="1"/>
  <c r="D49" i="2" s="1"/>
  <c r="E43" i="1" s="1"/>
  <c r="E51" i="2" a="1"/>
  <c r="E51" i="2" s="1"/>
  <c r="F45" i="1" s="1"/>
  <c r="E50" i="2" a="1"/>
  <c r="E50" i="2" s="1"/>
  <c r="F44" i="1" s="1"/>
  <c r="E41" i="2" a="1"/>
  <c r="E41" i="2" s="1"/>
  <c r="F35" i="1" s="1"/>
  <c r="D41" i="2" a="1"/>
  <c r="D41" i="2" s="1"/>
  <c r="E35" i="1" s="1"/>
  <c r="E45" i="2" a="1"/>
  <c r="E45" i="2" s="1"/>
  <c r="F39" i="1" s="1"/>
  <c r="D45" i="2" a="1"/>
  <c r="D45" i="2" s="1"/>
  <c r="E39" i="1" s="1"/>
  <c r="D42" i="2" a="1"/>
  <c r="D42" i="2" s="1"/>
  <c r="E36" i="1" s="1"/>
  <c r="E42" i="2" a="1"/>
  <c r="E42" i="2" s="1"/>
  <c r="F36" i="1" s="1"/>
  <c r="E46" i="2" a="1"/>
  <c r="E46" i="2" s="1"/>
  <c r="F40" i="1" s="1"/>
  <c r="D46" i="2" a="1"/>
  <c r="D46" i="2" s="1"/>
  <c r="E40" i="1" s="1"/>
  <c r="D47" i="2" a="1"/>
  <c r="D47" i="2" s="1"/>
  <c r="E41" i="1" s="1"/>
  <c r="E47" i="2" a="1"/>
  <c r="E47" i="2" s="1"/>
  <c r="F41" i="1" s="1"/>
  <c r="D43" i="2" a="1"/>
  <c r="D43" i="2" s="1"/>
  <c r="E37" i="1" s="1"/>
  <c r="E43" i="2" a="1"/>
  <c r="E43" i="2" s="1"/>
  <c r="F37" i="1" s="1"/>
  <c r="D44" i="2" a="1"/>
  <c r="D44" i="2" s="1"/>
  <c r="E38" i="1" s="1"/>
  <c r="E44" i="2" a="1"/>
  <c r="E44" i="2" s="1"/>
  <c r="F38" i="1" s="1"/>
  <c r="D48" i="2" a="1"/>
  <c r="D48" i="2" s="1"/>
  <c r="E42" i="1" s="1"/>
  <c r="E48" i="2" a="1"/>
  <c r="E48" i="2" s="1"/>
  <c r="F42" i="1" s="1"/>
  <c r="D141" i="2" a="1"/>
  <c r="D141" i="2" s="1"/>
  <c r="H207" i="1" s="1"/>
  <c r="H225" i="1" s="1"/>
  <c r="E141" i="2" a="1"/>
  <c r="E141" i="2" s="1"/>
  <c r="I207" i="1" s="1"/>
  <c r="I225" i="1" s="1"/>
  <c r="D92" i="2" a="1"/>
  <c r="D92" i="2" s="1"/>
  <c r="E120" i="1" s="1"/>
  <c r="E130" i="1" s="1"/>
  <c r="E92" i="2" a="1"/>
  <c r="E92" i="2" s="1"/>
  <c r="F120" i="1" s="1"/>
  <c r="F130" i="1" s="1"/>
  <c r="D115" i="2" a="1"/>
  <c r="D115" i="2" s="1"/>
  <c r="E153" i="1" s="1"/>
  <c r="E115" i="2" a="1"/>
  <c r="E115" i="2" s="1"/>
  <c r="F153" i="1" s="1"/>
  <c r="D76" i="2" a="1"/>
  <c r="D76" i="2" s="1"/>
  <c r="E86" i="1" s="1"/>
  <c r="E76" i="2" a="1"/>
  <c r="E76" i="2" s="1"/>
  <c r="F86" i="1" s="1"/>
  <c r="D138" i="2" a="1"/>
  <c r="D138" i="2" s="1"/>
  <c r="E138" i="2" a="1"/>
  <c r="E138" i="2" s="1"/>
  <c r="I204" i="1" s="1"/>
  <c r="I222" i="1" s="1"/>
  <c r="D152" i="2" a="1"/>
  <c r="D152" i="2" s="1"/>
  <c r="E152" i="2" a="1"/>
  <c r="E152" i="2" s="1"/>
  <c r="F218" i="1" s="1"/>
  <c r="F236" i="1" s="1"/>
  <c r="D54" i="2" a="1"/>
  <c r="D54" i="2" s="1"/>
  <c r="E48" i="1" s="1"/>
  <c r="E54" i="2" a="1"/>
  <c r="E54" i="2" s="1"/>
  <c r="F48" i="1" s="1"/>
  <c r="D142" i="2" a="1"/>
  <c r="D142" i="2" s="1"/>
  <c r="E142" i="2" a="1"/>
  <c r="E142" i="2" s="1"/>
  <c r="I208" i="1" s="1"/>
  <c r="I226" i="1" s="1"/>
  <c r="D95" i="2" a="1"/>
  <c r="D95" i="2" s="1"/>
  <c r="E133" i="1" s="1"/>
  <c r="E95" i="2" a="1"/>
  <c r="E95" i="2" s="1"/>
  <c r="F133" i="1" s="1"/>
  <c r="D157" i="2" a="1"/>
  <c r="D157" i="2" s="1"/>
  <c r="E157" i="2" a="1"/>
  <c r="E157" i="2" s="1"/>
  <c r="D116" i="2" a="1"/>
  <c r="D116" i="2" s="1"/>
  <c r="E154" i="1" s="1"/>
  <c r="E116" i="2" a="1"/>
  <c r="E116" i="2" s="1"/>
  <c r="F154" i="1" s="1"/>
  <c r="D124" i="2" a="1"/>
  <c r="D124" i="2" s="1"/>
  <c r="E162" i="1" s="1"/>
  <c r="E124" i="2" a="1"/>
  <c r="E124" i="2" s="1"/>
  <c r="F162" i="1" s="1"/>
  <c r="E162" i="2" a="1"/>
  <c r="E162" i="2" s="1"/>
  <c r="D162" i="2" a="1"/>
  <c r="D162" i="2" s="1"/>
  <c r="D67" i="2" a="1"/>
  <c r="D67" i="2" s="1"/>
  <c r="E77" i="1" s="1"/>
  <c r="E67" i="2" a="1"/>
  <c r="E67" i="2" s="1"/>
  <c r="F77" i="1" s="1"/>
  <c r="D104" i="2" a="1"/>
  <c r="D104" i="2" s="1"/>
  <c r="E142" i="1" s="1"/>
  <c r="E104" i="2" a="1"/>
  <c r="E104" i="2" s="1"/>
  <c r="F142" i="1" s="1"/>
  <c r="D145" i="2" a="1"/>
  <c r="D145" i="2" s="1"/>
  <c r="E145" i="2" a="1"/>
  <c r="E145" i="2" s="1"/>
  <c r="D113" i="2" a="1"/>
  <c r="D113" i="2" s="1"/>
  <c r="E151" i="1" s="1"/>
  <c r="E113" i="2" a="1"/>
  <c r="E113" i="2" s="1"/>
  <c r="F151" i="1" s="1"/>
  <c r="D118" i="2" a="1"/>
  <c r="D118" i="2" s="1"/>
  <c r="E156" i="1" s="1"/>
  <c r="E118" i="2" a="1"/>
  <c r="E118" i="2" s="1"/>
  <c r="F156" i="1" s="1"/>
  <c r="E161" i="2" a="1"/>
  <c r="E161" i="2" s="1"/>
  <c r="D161" i="2" a="1"/>
  <c r="D161" i="2" s="1"/>
  <c r="D131" i="2" a="1"/>
  <c r="D131" i="2" s="1"/>
  <c r="E169" i="1" s="1"/>
  <c r="E131" i="2" a="1"/>
  <c r="E131" i="2" s="1"/>
  <c r="F169" i="1" s="1"/>
  <c r="D87" i="2" a="1"/>
  <c r="D87" i="2" s="1"/>
  <c r="E87" i="2" a="1"/>
  <c r="E87" i="2" s="1"/>
  <c r="I115" i="1" s="1"/>
  <c r="I125" i="1" s="1"/>
  <c r="D86" i="2" a="1"/>
  <c r="D86" i="2" s="1"/>
  <c r="E86" i="2" a="1"/>
  <c r="E86" i="2" s="1"/>
  <c r="I114" i="1" s="1"/>
  <c r="I124" i="1" s="1"/>
  <c r="D102" i="2" a="1"/>
  <c r="D102" i="2" s="1"/>
  <c r="E140" i="1" s="1"/>
  <c r="E102" i="2" a="1"/>
  <c r="E102" i="2" s="1"/>
  <c r="F140" i="1" s="1"/>
  <c r="D140" i="2" a="1"/>
  <c r="D140" i="2" s="1"/>
  <c r="E140" i="2" a="1"/>
  <c r="E140" i="2" s="1"/>
  <c r="I206" i="1" s="1"/>
  <c r="I224" i="1" s="1"/>
  <c r="D136" i="2" a="1"/>
  <c r="D136" i="2" s="1"/>
  <c r="E174" i="1" s="1"/>
  <c r="E136" i="2" a="1"/>
  <c r="E136" i="2" s="1"/>
  <c r="F174" i="1" s="1"/>
  <c r="D106" i="2" a="1"/>
  <c r="D106" i="2" s="1"/>
  <c r="E144" i="1" s="1"/>
  <c r="E106" i="2" a="1"/>
  <c r="E106" i="2" s="1"/>
  <c r="F144" i="1" s="1"/>
  <c r="D62" i="2" a="1"/>
  <c r="D62" i="2" s="1"/>
  <c r="E72" i="1" s="1"/>
  <c r="E62" i="2" a="1"/>
  <c r="E62" i="2" s="1"/>
  <c r="F72" i="1" s="1"/>
  <c r="D56" i="2" a="1"/>
  <c r="D56" i="2" s="1"/>
  <c r="E56" i="2" a="1"/>
  <c r="E56" i="2" s="1"/>
  <c r="I60" i="1" s="1"/>
  <c r="I66" i="1" s="1"/>
  <c r="D121" i="2" a="1"/>
  <c r="D121" i="2" s="1"/>
  <c r="E159" i="1" s="1"/>
  <c r="E121" i="2" a="1"/>
  <c r="E121" i="2" s="1"/>
  <c r="F159" i="1" s="1"/>
  <c r="D120" i="2" a="1"/>
  <c r="D120" i="2" s="1"/>
  <c r="E158" i="1" s="1"/>
  <c r="E120" i="2" a="1"/>
  <c r="E120" i="2" s="1"/>
  <c r="F158" i="1" s="1"/>
  <c r="D148" i="2" a="1"/>
  <c r="D148" i="2" s="1"/>
  <c r="E148" i="2" a="1"/>
  <c r="E148" i="2" s="1"/>
  <c r="F214" i="1" s="1"/>
  <c r="F232" i="1" s="1"/>
  <c r="D130" i="2" a="1"/>
  <c r="D130" i="2" s="1"/>
  <c r="E168" i="1" s="1"/>
  <c r="E130" i="2" a="1"/>
  <c r="E130" i="2" s="1"/>
  <c r="F168" i="1" s="1"/>
  <c r="D144" i="2" a="1"/>
  <c r="D144" i="2" s="1"/>
  <c r="E144" i="2" a="1"/>
  <c r="E144" i="2" s="1"/>
  <c r="I210" i="1" s="1"/>
  <c r="I228" i="1" s="1"/>
  <c r="D93" i="2" a="1"/>
  <c r="D93" i="2" s="1"/>
  <c r="E131" i="1" s="1"/>
  <c r="E93" i="2" a="1"/>
  <c r="E93" i="2" s="1"/>
  <c r="F131" i="1" s="1"/>
  <c r="D52" i="2" a="1"/>
  <c r="D52" i="2" s="1"/>
  <c r="E46" i="1" s="1"/>
  <c r="E52" i="2" a="1"/>
  <c r="E52" i="2" s="1"/>
  <c r="F46" i="1" s="1"/>
  <c r="D119" i="2" a="1"/>
  <c r="D119" i="2" s="1"/>
  <c r="E157" i="1" s="1"/>
  <c r="E119" i="2" a="1"/>
  <c r="E119" i="2" s="1"/>
  <c r="F157" i="1" s="1"/>
  <c r="D70" i="2" a="1"/>
  <c r="D70" i="2" s="1"/>
  <c r="E80" i="1" s="1"/>
  <c r="E70" i="2" a="1"/>
  <c r="E70" i="2" s="1"/>
  <c r="F80" i="1" s="1"/>
  <c r="D114" i="2" a="1"/>
  <c r="D114" i="2" s="1"/>
  <c r="E152" i="1" s="1"/>
  <c r="E114" i="2" a="1"/>
  <c r="E114" i="2" s="1"/>
  <c r="F152" i="1" s="1"/>
  <c r="D88" i="2" a="1"/>
  <c r="D88" i="2" s="1"/>
  <c r="E88" i="2" a="1"/>
  <c r="E88" i="2" s="1"/>
  <c r="I116" i="1" s="1"/>
  <c r="I126" i="1" s="1"/>
  <c r="D110" i="2" a="1"/>
  <c r="D110" i="2" s="1"/>
  <c r="E148" i="1" s="1"/>
  <c r="E110" i="2" a="1"/>
  <c r="E110" i="2" s="1"/>
  <c r="F148" i="1" s="1"/>
  <c r="D81" i="2" a="1"/>
  <c r="D81" i="2" s="1"/>
  <c r="E91" i="1" s="1"/>
  <c r="E81" i="2" a="1"/>
  <c r="E81" i="2" s="1"/>
  <c r="F91" i="1" s="1"/>
  <c r="D126" i="2" a="1"/>
  <c r="D126" i="2" s="1"/>
  <c r="E164" i="1" s="1"/>
  <c r="E126" i="2" a="1"/>
  <c r="E126" i="2" s="1"/>
  <c r="F164" i="1" s="1"/>
  <c r="D151" i="2" a="1"/>
  <c r="D151" i="2" s="1"/>
  <c r="E151" i="2" a="1"/>
  <c r="E151" i="2" s="1"/>
  <c r="F217" i="1" s="1"/>
  <c r="F235" i="1" s="1"/>
  <c r="D117" i="2" a="1"/>
  <c r="D117" i="2" s="1"/>
  <c r="E155" i="1" s="1"/>
  <c r="E117" i="2" a="1"/>
  <c r="E117" i="2" s="1"/>
  <c r="F155" i="1" s="1"/>
  <c r="D146" i="2" a="1"/>
  <c r="D146" i="2" s="1"/>
  <c r="E146" i="2" a="1"/>
  <c r="E146" i="2" s="1"/>
  <c r="F212" i="1" s="1"/>
  <c r="F230" i="1" s="1"/>
  <c r="D139" i="2" a="1"/>
  <c r="D139" i="2" s="1"/>
  <c r="E139" i="2" a="1"/>
  <c r="E139" i="2" s="1"/>
  <c r="I205" i="1" s="1"/>
  <c r="I223" i="1" s="1"/>
  <c r="D99" i="2" a="1"/>
  <c r="D99" i="2" s="1"/>
  <c r="E137" i="1" s="1"/>
  <c r="E99" i="2" a="1"/>
  <c r="E99" i="2" s="1"/>
  <c r="F137" i="1" s="1"/>
  <c r="D132" i="2" a="1"/>
  <c r="D132" i="2" s="1"/>
  <c r="E170" i="1" s="1"/>
  <c r="E132" i="2" a="1"/>
  <c r="E132" i="2" s="1"/>
  <c r="F170" i="1" s="1"/>
  <c r="D122" i="2" a="1"/>
  <c r="D122" i="2" s="1"/>
  <c r="E160" i="1" s="1"/>
  <c r="E122" i="2" a="1"/>
  <c r="E122" i="2" s="1"/>
  <c r="F160" i="1" s="1"/>
  <c r="D74" i="2" a="1"/>
  <c r="D74" i="2" s="1"/>
  <c r="E84" i="1" s="1"/>
  <c r="E74" i="2" a="1"/>
  <c r="E74" i="2" s="1"/>
  <c r="F84" i="1" s="1"/>
  <c r="D57" i="2" a="1"/>
  <c r="D57" i="2" s="1"/>
  <c r="E57" i="2" a="1"/>
  <c r="E57" i="2" s="1"/>
  <c r="F61" i="1" s="1"/>
  <c r="F67" i="1" s="1"/>
  <c r="D98" i="2" a="1"/>
  <c r="D98" i="2" s="1"/>
  <c r="E136" i="1" s="1"/>
  <c r="E98" i="2" a="1"/>
  <c r="E98" i="2" s="1"/>
  <c r="F136" i="1" s="1"/>
  <c r="D147" i="2" a="1"/>
  <c r="D147" i="2" s="1"/>
  <c r="E147" i="2" a="1"/>
  <c r="E147" i="2" s="1"/>
  <c r="F213" i="1" s="1"/>
  <c r="F231" i="1" s="1"/>
  <c r="E164" i="2" a="1"/>
  <c r="E164" i="2" s="1"/>
  <c r="D164" i="2" a="1"/>
  <c r="D164" i="2" s="1"/>
  <c r="D91" i="2" a="1"/>
  <c r="D91" i="2" s="1"/>
  <c r="E91" i="2" a="1"/>
  <c r="E91" i="2" s="1"/>
  <c r="F119" i="1" s="1"/>
  <c r="F129" i="1" s="1"/>
  <c r="D55" i="2" a="1"/>
  <c r="D55" i="2" s="1"/>
  <c r="E55" i="2" a="1"/>
  <c r="E55" i="2" s="1"/>
  <c r="I59" i="1" s="1"/>
  <c r="I65" i="1" s="1"/>
  <c r="D75" i="2" a="1"/>
  <c r="D75" i="2" s="1"/>
  <c r="E85" i="1" s="1"/>
  <c r="E75" i="2" a="1"/>
  <c r="E75" i="2" s="1"/>
  <c r="F85" i="1" s="1"/>
  <c r="D100" i="2" a="1"/>
  <c r="D100" i="2" s="1"/>
  <c r="E138" i="1" s="1"/>
  <c r="E100" i="2" a="1"/>
  <c r="E100" i="2" s="1"/>
  <c r="F138" i="1" s="1"/>
  <c r="D111" i="2" a="1"/>
  <c r="D111" i="2" s="1"/>
  <c r="E149" i="1" s="1"/>
  <c r="E111" i="2" a="1"/>
  <c r="E111" i="2" s="1"/>
  <c r="F149" i="1" s="1"/>
  <c r="D156" i="2" a="1"/>
  <c r="D156" i="2" s="1"/>
  <c r="E156" i="2" a="1"/>
  <c r="E156" i="2" s="1"/>
  <c r="D112" i="2" a="1"/>
  <c r="D112" i="2" s="1"/>
  <c r="E150" i="1" s="1"/>
  <c r="E112" i="2" a="1"/>
  <c r="E112" i="2" s="1"/>
  <c r="F150" i="1" s="1"/>
  <c r="D96" i="2" a="1"/>
  <c r="D96" i="2" s="1"/>
  <c r="E134" i="1" s="1"/>
  <c r="E96" i="2" a="1"/>
  <c r="E96" i="2" s="1"/>
  <c r="F134" i="1" s="1"/>
  <c r="D90" i="2" a="1"/>
  <c r="D90" i="2" s="1"/>
  <c r="E90" i="2" a="1"/>
  <c r="E90" i="2" s="1"/>
  <c r="F118" i="1" s="1"/>
  <c r="F128" i="1" s="1"/>
  <c r="E158" i="2" a="1"/>
  <c r="E158" i="2" s="1"/>
  <c r="D158" i="2" a="1"/>
  <c r="D158" i="2" s="1"/>
  <c r="D85" i="2" a="1"/>
  <c r="D85" i="2" s="1"/>
  <c r="E85" i="2" a="1"/>
  <c r="E85" i="2" s="1"/>
  <c r="I113" i="1" s="1"/>
  <c r="I123" i="1" s="1"/>
  <c r="D107" i="2" a="1"/>
  <c r="D107" i="2" s="1"/>
  <c r="E145" i="1" s="1"/>
  <c r="E107" i="2" a="1"/>
  <c r="E107" i="2" s="1"/>
  <c r="F145" i="1" s="1"/>
  <c r="D73" i="2" a="1"/>
  <c r="D73" i="2" s="1"/>
  <c r="E83" i="1" s="1"/>
  <c r="E73" i="2" a="1"/>
  <c r="E73" i="2" s="1"/>
  <c r="F83" i="1" s="1"/>
  <c r="D150" i="2" a="1"/>
  <c r="D150" i="2" s="1"/>
  <c r="E150" i="2" a="1"/>
  <c r="E150" i="2" s="1"/>
  <c r="F216" i="1" s="1"/>
  <c r="F234" i="1" s="1"/>
  <c r="D77" i="2" a="1"/>
  <c r="D77" i="2" s="1"/>
  <c r="E87" i="1" s="1"/>
  <c r="E77" i="2" a="1"/>
  <c r="E77" i="2" s="1"/>
  <c r="F87" i="1" s="1"/>
  <c r="D160" i="2" a="1"/>
  <c r="D160" i="2" s="1"/>
  <c r="E160" i="2" a="1"/>
  <c r="E160" i="2" s="1"/>
  <c r="D72" i="2" a="1"/>
  <c r="D72" i="2" s="1"/>
  <c r="E82" i="1" s="1"/>
  <c r="E72" i="2" a="1"/>
  <c r="E72" i="2" s="1"/>
  <c r="F82" i="1" s="1"/>
  <c r="D71" i="2" a="1"/>
  <c r="D71" i="2" s="1"/>
  <c r="E81" i="1" s="1"/>
  <c r="E71" i="2" a="1"/>
  <c r="E71" i="2" s="1"/>
  <c r="F81" i="1" s="1"/>
  <c r="D143" i="2" a="1"/>
  <c r="D143" i="2" s="1"/>
  <c r="E143" i="2" a="1"/>
  <c r="E143" i="2" s="1"/>
  <c r="I209" i="1" s="1"/>
  <c r="I227" i="1" s="1"/>
  <c r="D135" i="2" a="1"/>
  <c r="D135" i="2" s="1"/>
  <c r="E173" i="1" s="1"/>
  <c r="E135" i="2" a="1"/>
  <c r="E135" i="2" s="1"/>
  <c r="F173" i="1" s="1"/>
  <c r="E163" i="2" a="1"/>
  <c r="E163" i="2" s="1"/>
  <c r="D163" i="2" a="1"/>
  <c r="D163" i="2" s="1"/>
  <c r="D79" i="2" a="1"/>
  <c r="D79" i="2" s="1"/>
  <c r="E89" i="1" s="1"/>
  <c r="E79" i="2" a="1"/>
  <c r="E79" i="2" s="1"/>
  <c r="F89" i="1" s="1"/>
  <c r="D65" i="2" a="1"/>
  <c r="D65" i="2" s="1"/>
  <c r="E75" i="1" s="1"/>
  <c r="E65" i="2" a="1"/>
  <c r="E65" i="2" s="1"/>
  <c r="F75" i="1" s="1"/>
  <c r="D82" i="2" a="1"/>
  <c r="D82" i="2" s="1"/>
  <c r="E92" i="1" s="1"/>
  <c r="E82" i="2" a="1"/>
  <c r="E82" i="2" s="1"/>
  <c r="F92" i="1" s="1"/>
  <c r="D101" i="2" a="1"/>
  <c r="D101" i="2" s="1"/>
  <c r="E139" i="1" s="1"/>
  <c r="E101" i="2" a="1"/>
  <c r="E101" i="2" s="1"/>
  <c r="F139" i="1" s="1"/>
  <c r="D89" i="2" a="1"/>
  <c r="D89" i="2" s="1"/>
  <c r="E89" i="2" a="1"/>
  <c r="E89" i="2" s="1"/>
  <c r="F117" i="1" s="1"/>
  <c r="F127" i="1" s="1"/>
  <c r="E159" i="2" a="1"/>
  <c r="E159" i="2" s="1"/>
  <c r="D159" i="2" a="1"/>
  <c r="D159" i="2" s="1"/>
  <c r="D127" i="2" a="1"/>
  <c r="D127" i="2" s="1"/>
  <c r="E165" i="1" s="1"/>
  <c r="E127" i="2" a="1"/>
  <c r="E127" i="2" s="1"/>
  <c r="F165" i="1" s="1"/>
  <c r="D64" i="2" a="1"/>
  <c r="D64" i="2" s="1"/>
  <c r="E74" i="1" s="1"/>
  <c r="E64" i="2" a="1"/>
  <c r="E64" i="2" s="1"/>
  <c r="F74" i="1" s="1"/>
  <c r="D129" i="2" a="1"/>
  <c r="D129" i="2" s="1"/>
  <c r="E167" i="1" s="1"/>
  <c r="E129" i="2" a="1"/>
  <c r="E129" i="2" s="1"/>
  <c r="F167" i="1" s="1"/>
  <c r="D78" i="2" a="1"/>
  <c r="D78" i="2" s="1"/>
  <c r="E88" i="1" s="1"/>
  <c r="E78" i="2" a="1"/>
  <c r="E78" i="2" s="1"/>
  <c r="F88" i="1" s="1"/>
  <c r="D154" i="2" a="1"/>
  <c r="D154" i="2" s="1"/>
  <c r="E154" i="2" a="1"/>
  <c r="E154" i="2" s="1"/>
  <c r="D80" i="2" a="1"/>
  <c r="D80" i="2" s="1"/>
  <c r="E90" i="1" s="1"/>
  <c r="E80" i="2" a="1"/>
  <c r="E80" i="2" s="1"/>
  <c r="F90" i="1" s="1"/>
  <c r="D58" i="2" a="1"/>
  <c r="D58" i="2" s="1"/>
  <c r="E58" i="2" a="1"/>
  <c r="E58" i="2" s="1"/>
  <c r="F62" i="1" s="1"/>
  <c r="F68" i="1" s="1"/>
  <c r="D109" i="2" a="1"/>
  <c r="D109" i="2" s="1"/>
  <c r="E147" i="1" s="1"/>
  <c r="E109" i="2" a="1"/>
  <c r="E109" i="2" s="1"/>
  <c r="F147" i="1" s="1"/>
  <c r="D97" i="2" a="1"/>
  <c r="D97" i="2" s="1"/>
  <c r="E135" i="1" s="1"/>
  <c r="E97" i="2" a="1"/>
  <c r="E97" i="2" s="1"/>
  <c r="F135" i="1" s="1"/>
  <c r="D153" i="2" a="1"/>
  <c r="D153" i="2" s="1"/>
  <c r="E153" i="2" a="1"/>
  <c r="E153" i="2" s="1"/>
  <c r="D69" i="2" a="1"/>
  <c r="D69" i="2" s="1"/>
  <c r="E79" i="1" s="1"/>
  <c r="E69" i="2" a="1"/>
  <c r="E69" i="2" s="1"/>
  <c r="F79" i="1" s="1"/>
  <c r="D53" i="2" a="1"/>
  <c r="D53" i="2" s="1"/>
  <c r="E47" i="1" s="1"/>
  <c r="E53" i="2" a="1"/>
  <c r="E53" i="2" s="1"/>
  <c r="F47" i="1" s="1"/>
  <c r="D66" i="2" a="1"/>
  <c r="D66" i="2" s="1"/>
  <c r="E76" i="1" s="1"/>
  <c r="E66" i="2" a="1"/>
  <c r="E66" i="2" s="1"/>
  <c r="F76" i="1" s="1"/>
  <c r="D105" i="2" a="1"/>
  <c r="D105" i="2" s="1"/>
  <c r="E143" i="1" s="1"/>
  <c r="E105" i="2" a="1"/>
  <c r="E105" i="2" s="1"/>
  <c r="F143" i="1" s="1"/>
  <c r="D123" i="2" a="1"/>
  <c r="D123" i="2" s="1"/>
  <c r="E161" i="1" s="1"/>
  <c r="E123" i="2" a="1"/>
  <c r="E123" i="2" s="1"/>
  <c r="F161" i="1" s="1"/>
  <c r="D103" i="2" a="1"/>
  <c r="D103" i="2" s="1"/>
  <c r="E141" i="1" s="1"/>
  <c r="E103" i="2" a="1"/>
  <c r="E103" i="2" s="1"/>
  <c r="F141" i="1" s="1"/>
  <c r="D137" i="2" a="1"/>
  <c r="D137" i="2" s="1"/>
  <c r="E137" i="2" a="1"/>
  <c r="E137" i="2" s="1"/>
  <c r="I203" i="1" s="1"/>
  <c r="I221" i="1" s="1"/>
  <c r="D108" i="2" a="1"/>
  <c r="D108" i="2" s="1"/>
  <c r="E146" i="1" s="1"/>
  <c r="E108" i="2" a="1"/>
  <c r="E108" i="2" s="1"/>
  <c r="F146" i="1" s="1"/>
  <c r="D133" i="2" a="1"/>
  <c r="D133" i="2" s="1"/>
  <c r="E171" i="1" s="1"/>
  <c r="E133" i="2" a="1"/>
  <c r="E133" i="2" s="1"/>
  <c r="F171" i="1" s="1"/>
  <c r="D128" i="2" a="1"/>
  <c r="D128" i="2" s="1"/>
  <c r="E166" i="1" s="1"/>
  <c r="E128" i="2" a="1"/>
  <c r="E128" i="2" s="1"/>
  <c r="F166" i="1" s="1"/>
  <c r="D84" i="2" a="1"/>
  <c r="D84" i="2" s="1"/>
  <c r="E94" i="1" s="1"/>
  <c r="E84" i="2" a="1"/>
  <c r="E84" i="2" s="1"/>
  <c r="F94" i="1" s="1"/>
  <c r="D63" i="2" a="1"/>
  <c r="D63" i="2" s="1"/>
  <c r="E73" i="1" s="1"/>
  <c r="E63" i="2" a="1"/>
  <c r="E63" i="2" s="1"/>
  <c r="F73" i="1" s="1"/>
  <c r="D155" i="2" a="1"/>
  <c r="D155" i="2" s="1"/>
  <c r="E155" i="2" a="1"/>
  <c r="E155" i="2" s="1"/>
  <c r="D149" i="2" a="1"/>
  <c r="D149" i="2" s="1"/>
  <c r="E149" i="2" a="1"/>
  <c r="E149" i="2" s="1"/>
  <c r="F215" i="1" s="1"/>
  <c r="F233" i="1" s="1"/>
  <c r="D134" i="2" a="1"/>
  <c r="D134" i="2" s="1"/>
  <c r="E172" i="1" s="1"/>
  <c r="E134" i="2" a="1"/>
  <c r="E134" i="2" s="1"/>
  <c r="F172" i="1" s="1"/>
  <c r="D94" i="2" a="1"/>
  <c r="D94" i="2" s="1"/>
  <c r="E132" i="1" s="1"/>
  <c r="E94" i="2" a="1"/>
  <c r="E94" i="2" s="1"/>
  <c r="F132" i="1" s="1"/>
  <c r="D68" i="2" a="1"/>
  <c r="D68" i="2" s="1"/>
  <c r="E78" i="1" s="1"/>
  <c r="E68" i="2" a="1"/>
  <c r="E68" i="2" s="1"/>
  <c r="F78" i="1" s="1"/>
  <c r="D125" i="2" a="1"/>
  <c r="D125" i="2" s="1"/>
  <c r="E163" i="1" s="1"/>
  <c r="E125" i="2" a="1"/>
  <c r="E125" i="2" s="1"/>
  <c r="F163" i="1" s="1"/>
  <c r="D83" i="2" a="1"/>
  <c r="D83" i="2" s="1"/>
  <c r="E93" i="1" s="1"/>
  <c r="E83" i="2" a="1"/>
  <c r="E83" i="2" s="1"/>
  <c r="F93" i="1" s="1"/>
  <c r="D61" i="2" a="1"/>
  <c r="D61" i="2" s="1"/>
  <c r="E71" i="1" s="1"/>
  <c r="E61" i="2" a="1"/>
  <c r="E61" i="2" s="1"/>
  <c r="F71" i="1" s="1"/>
  <c r="F211" i="1" l="1"/>
  <c r="F229" i="1" s="1"/>
  <c r="H203" i="1"/>
  <c r="H221" i="1" s="1"/>
  <c r="H205" i="1"/>
  <c r="H223" i="1" s="1"/>
  <c r="H114" i="1"/>
  <c r="H124" i="1" s="1"/>
  <c r="E218" i="1"/>
  <c r="E236" i="1" s="1"/>
  <c r="E119" i="1"/>
  <c r="E129" i="1" s="1"/>
  <c r="E215" i="1"/>
  <c r="E233" i="1" s="1"/>
  <c r="H209" i="1"/>
  <c r="H227" i="1" s="1"/>
  <c r="H113" i="1"/>
  <c r="H123" i="1" s="1"/>
  <c r="E213" i="1"/>
  <c r="E231" i="1" s="1"/>
  <c r="E212" i="1"/>
  <c r="E230" i="1" s="1"/>
  <c r="H210" i="1"/>
  <c r="H228" i="1" s="1"/>
  <c r="H115" i="1"/>
  <c r="H125" i="1" s="1"/>
  <c r="H204" i="1"/>
  <c r="H222" i="1" s="1"/>
  <c r="E217" i="1"/>
  <c r="E235" i="1" s="1"/>
  <c r="E118" i="1"/>
  <c r="E128" i="1" s="1"/>
  <c r="E61" i="1"/>
  <c r="E67" i="1" s="1"/>
  <c r="H116" i="1"/>
  <c r="H126" i="1" s="1"/>
  <c r="E214" i="1"/>
  <c r="E232" i="1" s="1"/>
  <c r="E62" i="1"/>
  <c r="E68" i="1" s="1"/>
  <c r="E117" i="1"/>
  <c r="E127" i="1" s="1"/>
  <c r="E216" i="1"/>
  <c r="E234" i="1" s="1"/>
  <c r="H59" i="1"/>
  <c r="H65" i="1" s="1"/>
  <c r="H60" i="1"/>
  <c r="H66" i="1" s="1"/>
  <c r="H206" i="1"/>
  <c r="H224" i="1" s="1"/>
  <c r="E211" i="1"/>
  <c r="E229" i="1" s="1"/>
  <c r="H208" i="1"/>
  <c r="H226" i="1" s="1"/>
  <c r="M267" i="2"/>
  <c r="N267" i="2" s="1" a="1"/>
  <c r="N267" i="2" s="1"/>
  <c r="F267" i="2"/>
  <c r="M269" i="2" l="1"/>
  <c r="N269" i="2" s="1" a="1"/>
  <c r="N269" i="2" s="1"/>
  <c r="M268" i="2"/>
  <c r="N268" i="2" s="1" a="1"/>
  <c r="N268" i="2" s="1"/>
  <c r="F268" i="2"/>
  <c r="F269" i="2"/>
  <c r="M259" i="2"/>
  <c r="N259" i="2" s="1" a="1"/>
  <c r="N259" i="2" s="1"/>
  <c r="M260" i="2"/>
  <c r="N260" i="2" s="1" a="1"/>
  <c r="N260" i="2" s="1"/>
  <c r="F259" i="2" l="1"/>
  <c r="F260" i="2"/>
  <c r="F261" i="2" l="1"/>
  <c r="C265" i="2" s="1"/>
  <c r="D265" i="2" s="1" a="1"/>
  <c r="D265" i="2" s="1"/>
  <c r="M261" i="2"/>
  <c r="N261" i="2" s="1" a="1"/>
  <c r="N261" i="2" s="1"/>
  <c r="E206" i="1" l="1"/>
  <c r="E224" i="1" s="1"/>
  <c r="F262" i="2"/>
  <c r="C266" i="2" s="1"/>
  <c r="D266" i="2" s="1" a="1"/>
  <c r="D266" i="2" s="1"/>
  <c r="M262" i="2"/>
  <c r="N262" i="2" s="1" a="1"/>
  <c r="N262" i="2" s="1"/>
  <c r="E203" i="1" l="1"/>
  <c r="E221" i="1" s="1"/>
  <c r="M263" i="2"/>
  <c r="N263" i="2" s="1" a="1"/>
  <c r="N263" i="2" s="1"/>
  <c r="F263" i="2"/>
  <c r="C267" i="2" s="1"/>
  <c r="D267" i="2" s="1" a="1"/>
  <c r="D267" i="2" s="1"/>
  <c r="E258" i="1" s="1"/>
  <c r="E267" i="2" l="1" a="1"/>
  <c r="E267" i="2" s="1"/>
  <c r="F258" i="1" s="1"/>
  <c r="M264" i="2"/>
  <c r="F264" i="2"/>
  <c r="C268" i="2" s="1"/>
  <c r="E265" i="2" l="1" a="1"/>
  <c r="E265" i="2" s="1"/>
  <c r="F206" i="1" s="1"/>
  <c r="F224" i="1" s="1"/>
  <c r="N264" i="2" a="1"/>
  <c r="N264" i="2" s="1"/>
  <c r="D268" i="2" a="1"/>
  <c r="D268" i="2" s="1"/>
  <c r="E259" i="1" s="1"/>
  <c r="E268" i="2" a="1"/>
  <c r="E268" i="2" s="1"/>
  <c r="F259" i="1" s="1"/>
  <c r="F265" i="2"/>
  <c r="M265" i="2"/>
  <c r="E266" i="2" l="1" a="1"/>
  <c r="E266" i="2" s="1"/>
  <c r="F203" i="1" s="1"/>
  <c r="F221" i="1" s="1"/>
  <c r="N265" i="2" a="1"/>
  <c r="N265" i="2" s="1"/>
  <c r="C259" i="2"/>
  <c r="D259" i="2" s="1" a="1"/>
  <c r="D259" i="2" s="1"/>
  <c r="C264" i="2"/>
  <c r="C270" i="2"/>
  <c r="C276" i="2"/>
  <c r="C261" i="2"/>
  <c r="C274" i="2"/>
  <c r="D274" i="2" s="1" a="1"/>
  <c r="D274" i="2" s="1"/>
  <c r="C260" i="2"/>
  <c r="C273" i="2"/>
  <c r="C272" i="2"/>
  <c r="C271" i="2"/>
  <c r="D271" i="2" s="1" a="1"/>
  <c r="D271" i="2" s="1"/>
  <c r="C262" i="2"/>
  <c r="C275" i="2"/>
  <c r="C263" i="2"/>
  <c r="C269" i="2"/>
  <c r="H218" i="1" l="1"/>
  <c r="H236" i="1" s="1"/>
  <c r="E259" i="2" a="1"/>
  <c r="E259" i="2" s="1"/>
  <c r="I218" i="1" s="1"/>
  <c r="I236" i="1" s="1"/>
  <c r="D264" i="2" a="1"/>
  <c r="D264" i="2" s="1"/>
  <c r="E264" i="2" a="1"/>
  <c r="E264" i="2" s="1"/>
  <c r="F207" i="1" s="1"/>
  <c r="F225" i="1" s="1"/>
  <c r="E274" i="2" a="1"/>
  <c r="E274" i="2" s="1"/>
  <c r="D273" i="2" a="1"/>
  <c r="D273" i="2" s="1"/>
  <c r="E273" i="2" a="1"/>
  <c r="E273" i="2" s="1"/>
  <c r="E271" i="2" a="1"/>
  <c r="E271" i="2" s="1"/>
  <c r="D260" i="2" a="1"/>
  <c r="D260" i="2" s="1"/>
  <c r="E260" i="2" a="1"/>
  <c r="E260" i="2" s="1"/>
  <c r="I215" i="1" s="1"/>
  <c r="I233" i="1" s="1"/>
  <c r="D261" i="2" a="1"/>
  <c r="D261" i="2" s="1"/>
  <c r="E261" i="2" a="1"/>
  <c r="E261" i="2" s="1"/>
  <c r="I214" i="1" s="1"/>
  <c r="I232" i="1" s="1"/>
  <c r="D276" i="2" a="1"/>
  <c r="D276" i="2" s="1"/>
  <c r="E276" i="2" a="1"/>
  <c r="E276" i="2" s="1"/>
  <c r="D272" i="2" a="1"/>
  <c r="D272" i="2" s="1"/>
  <c r="E272" i="2" a="1"/>
  <c r="E272" i="2" s="1"/>
  <c r="D269" i="2" a="1"/>
  <c r="D269" i="2" s="1"/>
  <c r="E260" i="1" s="1"/>
  <c r="E269" i="2" a="1"/>
  <c r="E269" i="2" s="1"/>
  <c r="F260" i="1" s="1"/>
  <c r="D263" i="2" a="1"/>
  <c r="D263" i="2" s="1"/>
  <c r="E263" i="2" a="1"/>
  <c r="E263" i="2" s="1"/>
  <c r="F210" i="1" s="1"/>
  <c r="F228" i="1" s="1"/>
  <c r="E275" i="2" a="1"/>
  <c r="E275" i="2" s="1"/>
  <c r="D275" i="2" a="1"/>
  <c r="D275" i="2" s="1"/>
  <c r="D262" i="2" a="1"/>
  <c r="D262" i="2" s="1"/>
  <c r="E262" i="2" a="1"/>
  <c r="E262" i="2" s="1"/>
  <c r="I211" i="1" s="1"/>
  <c r="I229" i="1" s="1"/>
  <c r="D270" i="2" a="1"/>
  <c r="D270" i="2" s="1"/>
  <c r="E261" i="1" s="1"/>
  <c r="E270" i="2" a="1"/>
  <c r="E270" i="2" s="1"/>
  <c r="F261" i="1" s="1"/>
  <c r="H211" i="1" l="1"/>
  <c r="H229" i="1" s="1"/>
  <c r="E210" i="1"/>
  <c r="E228" i="1" s="1"/>
  <c r="H214" i="1"/>
  <c r="H232" i="1" s="1"/>
  <c r="E207" i="1"/>
  <c r="E225" i="1" s="1"/>
  <c r="H215" i="1"/>
  <c r="H233" i="1" s="1"/>
  <c r="P3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<sst xmlns="http://schemas.openxmlformats.org/spreadsheetml/2006/main" count="3005" uniqueCount="581">
  <si>
    <t>HVW</t>
  </si>
  <si>
    <t>OLW</t>
  </si>
  <si>
    <t>VL</t>
  </si>
  <si>
    <t>LL</t>
  </si>
  <si>
    <t>HVW roh</t>
  </si>
  <si>
    <t>BOL</t>
  </si>
  <si>
    <t>Rank</t>
  </si>
  <si>
    <t>RL-A</t>
  </si>
  <si>
    <t>OL-A</t>
  </si>
  <si>
    <t>VLA</t>
  </si>
  <si>
    <t>Ziel</t>
  </si>
  <si>
    <t>Vers</t>
  </si>
  <si>
    <t>Zuo</t>
  </si>
  <si>
    <t>Absteiger RL 1</t>
  </si>
  <si>
    <t>Absteiger RL 2</t>
  </si>
  <si>
    <t>Absteiger RL 3</t>
  </si>
  <si>
    <t>Absteiger RL 4</t>
  </si>
  <si>
    <t>Absteiger RL 5</t>
  </si>
  <si>
    <t>Absteiger RL 6</t>
  </si>
  <si>
    <t>HC Oppenweiler/Backnang</t>
  </si>
  <si>
    <t>:</t>
  </si>
  <si>
    <t>Wölfe Würzburg</t>
  </si>
  <si>
    <t>HBW Balingen II</t>
  </si>
  <si>
    <t>EHV Aue</t>
  </si>
  <si>
    <t>SV Salamander Kornwestheim</t>
  </si>
  <si>
    <t>VfL Pfullingen</t>
  </si>
  <si>
    <t>TSV Neuhausen/Filder</t>
  </si>
  <si>
    <t>TSB Heilbronn-Horkheim</t>
  </si>
  <si>
    <t>HC Erlangen II</t>
  </si>
  <si>
    <t>TuS Fürstenfeldbruck</t>
  </si>
  <si>
    <t>HG Oftersheim/Schwetzingen</t>
  </si>
  <si>
    <t>Rhein-Neckar-Löwen II</t>
  </si>
  <si>
    <t>SG Pforzheim-Eutingen</t>
  </si>
  <si>
    <t>TVS 1907 Baden-Baden</t>
  </si>
  <si>
    <t xml:space="preserve">SV 04 Plauen-Oberlosa </t>
  </si>
  <si>
    <t>TG Landshut</t>
  </si>
  <si>
    <t>SG Köndringen/Teningen</t>
  </si>
  <si>
    <t>TV Bittenfeld 1898 2</t>
  </si>
  <si>
    <t>TSB Schwäbisch Gmünd</t>
  </si>
  <si>
    <t>VfL Waiblingen Handball</t>
  </si>
  <si>
    <t>HSG Ostfildern</t>
  </si>
  <si>
    <t>HSG Albstadt</t>
  </si>
  <si>
    <t>HC Neuenbürg 2000</t>
  </si>
  <si>
    <t>TSV Heiningen 1892</t>
  </si>
  <si>
    <t>TV Willstätt</t>
  </si>
  <si>
    <t>TV Plochingen</t>
  </si>
  <si>
    <t>TSV 1866 Weinsberg</t>
  </si>
  <si>
    <t>TSV 1899 Blaustein</t>
  </si>
  <si>
    <t>MTG Wangen</t>
  </si>
  <si>
    <t>Saase3 Leutershausen Handball 2</t>
  </si>
  <si>
    <t>TuS Schutterwald</t>
  </si>
  <si>
    <t>TSG Söflingen</t>
  </si>
  <si>
    <t>BW</t>
  </si>
  <si>
    <t>SN</t>
  </si>
  <si>
    <t>BY</t>
  </si>
  <si>
    <t>SHV</t>
  </si>
  <si>
    <t>BHV</t>
  </si>
  <si>
    <t>Absteiger 3. Liga</t>
  </si>
  <si>
    <t>Absteiger HVW</t>
  </si>
  <si>
    <t>Absteiger BHV</t>
  </si>
  <si>
    <t>Absteiger SHV</t>
  </si>
  <si>
    <t>Absteiger aus RL</t>
  </si>
  <si>
    <t>HVW1</t>
  </si>
  <si>
    <t>HVW2</t>
  </si>
  <si>
    <t>HVW3</t>
  </si>
  <si>
    <t>HVW4</t>
  </si>
  <si>
    <t>HVW5</t>
  </si>
  <si>
    <t>HVW6</t>
  </si>
  <si>
    <t>HVW7</t>
  </si>
  <si>
    <t>Absteiger RL 7</t>
  </si>
  <si>
    <t>Oberliga</t>
  </si>
  <si>
    <t>Regionalliga</t>
  </si>
  <si>
    <t>3 Liga</t>
  </si>
  <si>
    <t>Absteiger aus 3. Liga</t>
  </si>
  <si>
    <t>BW1</t>
  </si>
  <si>
    <t>BW2</t>
  </si>
  <si>
    <t>BW3</t>
  </si>
  <si>
    <t>Aufsteiger BHV</t>
  </si>
  <si>
    <t>Aufsteiger SHV</t>
  </si>
  <si>
    <t>BHV1</t>
  </si>
  <si>
    <t>BHV2</t>
  </si>
  <si>
    <t>SHV1</t>
  </si>
  <si>
    <t>SHV2</t>
  </si>
  <si>
    <t>TV 1893 Neuhausen/E.</t>
  </si>
  <si>
    <t>TSV Schmiden 1902</t>
  </si>
  <si>
    <t>HSG Langenau/Elchingen</t>
  </si>
  <si>
    <t>TV 1895 Flein</t>
  </si>
  <si>
    <t>SG Weinstadt</t>
  </si>
  <si>
    <t>TSV Wolfschlugen</t>
  </si>
  <si>
    <t>SG BBM Bietigheim 2</t>
  </si>
  <si>
    <t>SV Leonberg/Eltingen</t>
  </si>
  <si>
    <t>TV Weilstetten</t>
  </si>
  <si>
    <t>TSV Deizisau</t>
  </si>
  <si>
    <t>SG Schozach-Bottwartal</t>
  </si>
  <si>
    <t>SG Lauterstein</t>
  </si>
  <si>
    <t>SG H2Ku Herrenberg</t>
  </si>
  <si>
    <t>TV Oeffingen 1897</t>
  </si>
  <si>
    <t>Handballregion Bottwar SG</t>
  </si>
  <si>
    <t>Sport-Union Neckarsulm</t>
  </si>
  <si>
    <t>TSV Altensteig</t>
  </si>
  <si>
    <t>TSV Bönnigheim</t>
  </si>
  <si>
    <t>TSV Alfdorf/Lorch/Waldhausen</t>
  </si>
  <si>
    <t>SG Hofen/Hüttlingen</t>
  </si>
  <si>
    <t>TSF Ditzingen</t>
  </si>
  <si>
    <t>SV Fellbach</t>
  </si>
  <si>
    <t>HSG Böblingen/Sindelfingen</t>
  </si>
  <si>
    <t>SV Remshalden</t>
  </si>
  <si>
    <t>SF Schwaikheim</t>
  </si>
  <si>
    <t>TSV Asperg</t>
  </si>
  <si>
    <t>SKV Unterensingen</t>
  </si>
  <si>
    <t>SG Hegensberg-Liebersbronn</t>
  </si>
  <si>
    <t>SG Ober-/Unterhausen</t>
  </si>
  <si>
    <t>TSV Denkendorf</t>
  </si>
  <si>
    <t>TG Schömberg</t>
  </si>
  <si>
    <t>TV Reichenbach</t>
  </si>
  <si>
    <t>Spvgg Mössingen</t>
  </si>
  <si>
    <t>TSV 1848 Bad Saulgau</t>
  </si>
  <si>
    <t>TEAM Esslingen</t>
  </si>
  <si>
    <t>VfL Pfullingen 2</t>
  </si>
  <si>
    <t>HSG Winzingen-Wißgoldingen-Donzdorf</t>
  </si>
  <si>
    <t>HSG Schönbuch</t>
  </si>
  <si>
    <t>HB Ludwigsburg</t>
  </si>
  <si>
    <t>SG H2Ku Herrenberg 2</t>
  </si>
  <si>
    <t>SV Salamander Kornwestheim 1894 2</t>
  </si>
  <si>
    <t>SG BBM Bietigheim 3</t>
  </si>
  <si>
    <t>TSV 1866 Weinsberg 2</t>
  </si>
  <si>
    <t>HC Oppenweiler/Backnang 2</t>
  </si>
  <si>
    <t>TV Mundelsheim</t>
  </si>
  <si>
    <t>Handballregion Bottwar SG 2</t>
  </si>
  <si>
    <t>TSV Willsbach</t>
  </si>
  <si>
    <t>SG Degmarn-Oedheim</t>
  </si>
  <si>
    <t>HSG Rottweil</t>
  </si>
  <si>
    <t>TV Spaichingen</t>
  </si>
  <si>
    <t>HSG Baar</t>
  </si>
  <si>
    <t>TV Aixheim</t>
  </si>
  <si>
    <t>HSG Fridingen/Mühlheim</t>
  </si>
  <si>
    <t>HC Winnenden</t>
  </si>
  <si>
    <t>SG Weinstadt 2</t>
  </si>
  <si>
    <t>TV Bittenfeld 1898 3</t>
  </si>
  <si>
    <t>VfL Waiblingen Handball 2</t>
  </si>
  <si>
    <t>SG Schorndorf 1846</t>
  </si>
  <si>
    <t>TSV Bartenbach</t>
  </si>
  <si>
    <t>HSG Ebersbach/Bünzwangen</t>
  </si>
  <si>
    <t>TSV Betzingen</t>
  </si>
  <si>
    <t>TSV Köngen</t>
  </si>
  <si>
    <t>TSV Heiningen 1892 2</t>
  </si>
  <si>
    <t>TSV Zizishausen</t>
  </si>
  <si>
    <t>HSG Ermstal</t>
  </si>
  <si>
    <t>SG Hirsau/Calw/Bad Liebenzell</t>
  </si>
  <si>
    <t>EK Bernhausen</t>
  </si>
  <si>
    <t>TSB Schwäbisch Gmünd 2</t>
  </si>
  <si>
    <t>TV Gerhausen 1900</t>
  </si>
  <si>
    <t>SG Herbrechtingen-Bolheim</t>
  </si>
  <si>
    <t>HV Rot-Weiß Laupheim</t>
  </si>
  <si>
    <t>TG Biberach</t>
  </si>
  <si>
    <t>HSG Oberkochen/Königsbronn</t>
  </si>
  <si>
    <t>SG Lauterstein 2</t>
  </si>
  <si>
    <t>TV Treffelhausen</t>
  </si>
  <si>
    <t>SC Vöhringen</t>
  </si>
  <si>
    <t>HC Hohenems</t>
  </si>
  <si>
    <t>TSG Söflingen 2</t>
  </si>
  <si>
    <t>SV Salamander Kornwestheim 1894</t>
  </si>
  <si>
    <t>SG BBM Bietigheim</t>
  </si>
  <si>
    <t>HSG Heilbronn</t>
  </si>
  <si>
    <t>HSG Stuttgarter Kickers/TuS Metzingen 3</t>
  </si>
  <si>
    <t>VfL Nagold</t>
  </si>
  <si>
    <t>TV Möglingen</t>
  </si>
  <si>
    <t>HSG Bargau/Bettringen</t>
  </si>
  <si>
    <t>TSV Neckartenzlingen</t>
  </si>
  <si>
    <t>SC Lehr</t>
  </si>
  <si>
    <t>SG Schozach-Bottwartal 2</t>
  </si>
  <si>
    <t>HSG Strohgäu</t>
  </si>
  <si>
    <t>HSG Hohenlohe</t>
  </si>
  <si>
    <t>TSV Bönnigheim 2</t>
  </si>
  <si>
    <t>SG Heuchelberg</t>
  </si>
  <si>
    <t>TSV Hardthausen</t>
  </si>
  <si>
    <t>HSG Kochertürn/Stein</t>
  </si>
  <si>
    <t>Hbi Weilimdorf/Feuerbach</t>
  </si>
  <si>
    <t>SG Tübingen</t>
  </si>
  <si>
    <t>HSG Hossingen-Meßstetten</t>
  </si>
  <si>
    <t>HC Schmiden/Oeffingen 2</t>
  </si>
  <si>
    <t>HSG Fridingen/Mühlheim 2</t>
  </si>
  <si>
    <t>HWB Handball Winterlingen-Bitz</t>
  </si>
  <si>
    <t>TSV Neuhausen/F. 1898</t>
  </si>
  <si>
    <t>HSG Winterbach/Weiler</t>
  </si>
  <si>
    <t>TB Neuffen</t>
  </si>
  <si>
    <t>HT Uhingen-Holzhausen</t>
  </si>
  <si>
    <t>SF Schwaikheim 2</t>
  </si>
  <si>
    <t>HSG Owen-Lenningen</t>
  </si>
  <si>
    <t>TSG Schnaitheim</t>
  </si>
  <si>
    <t>TV Weingarten Handball</t>
  </si>
  <si>
    <t>TG Geislingen</t>
  </si>
  <si>
    <t>BW Feldkirch</t>
  </si>
  <si>
    <t>TSB 1847 Ravensburg</t>
  </si>
  <si>
    <t>SV Hohenacker-Neustadt</t>
  </si>
  <si>
    <t>HSG Neckartal</t>
  </si>
  <si>
    <t>HC Lustenau</t>
  </si>
  <si>
    <t>OL</t>
  </si>
  <si>
    <t>LIGC</t>
  </si>
  <si>
    <t>PQ</t>
  </si>
  <si>
    <t>Ix</t>
  </si>
  <si>
    <t>TQ</t>
  </si>
  <si>
    <t>TDQ</t>
  </si>
  <si>
    <t>Rk</t>
  </si>
  <si>
    <t>Verein</t>
  </si>
  <si>
    <t>HSG Lauffen-Neipperg</t>
  </si>
  <si>
    <t>SV Germania Obrigheim</t>
  </si>
  <si>
    <t>TSB Horkheim 2</t>
  </si>
  <si>
    <t>TV 1895 Flein 2</t>
  </si>
  <si>
    <t>TSG Schwäbisch Hall</t>
  </si>
  <si>
    <t>TV Hardheim 1895 2</t>
  </si>
  <si>
    <t>TSF Ditzingen 2</t>
  </si>
  <si>
    <t>CVJM Möglingen</t>
  </si>
  <si>
    <t>TSV Asperg 2</t>
  </si>
  <si>
    <t>HSG Marbach-Rielingshausen</t>
  </si>
  <si>
    <t>SV Salamander Kornwestheim 1894 3</t>
  </si>
  <si>
    <t>HB Ludwigsburg 2</t>
  </si>
  <si>
    <t>HC Oppenweiler/Backnang 3</t>
  </si>
  <si>
    <t>TV Mundelsheim 2</t>
  </si>
  <si>
    <t>TSV Neuhausen/F. 1898 2</t>
  </si>
  <si>
    <t>TSV Denkendorf 2</t>
  </si>
  <si>
    <t>TSV Weilheim</t>
  </si>
  <si>
    <t>tus Stuttgart</t>
  </si>
  <si>
    <t>TSV Grabenstetten 1913</t>
  </si>
  <si>
    <t>HSG Ostfildern 2</t>
  </si>
  <si>
    <t>TSV Wolfschlugen 2</t>
  </si>
  <si>
    <t>SG Hegensberg-Liebersbronn 2</t>
  </si>
  <si>
    <t>HSG Leinfelden-Echterdingen</t>
  </si>
  <si>
    <t>TV Steinheim/A.</t>
  </si>
  <si>
    <t>Kuchen-Gingen-Süssen Handball</t>
  </si>
  <si>
    <t>TV Altenstadt</t>
  </si>
  <si>
    <t>SG Hofen/Hüttlingen 2</t>
  </si>
  <si>
    <t>TSV Bartenbach 2</t>
  </si>
  <si>
    <t>TV Jahn Göppingen</t>
  </si>
  <si>
    <t>Heidenheimer SB</t>
  </si>
  <si>
    <t>HSG Oberkochen/Königsbronn 2</t>
  </si>
  <si>
    <t>HSG Winzingen-Wißgoldingen-Donzdorf 2</t>
  </si>
  <si>
    <t>TV 1893 Neuhausen/E. 2</t>
  </si>
  <si>
    <t>Spvgg Renningen</t>
  </si>
  <si>
    <t>HSG Böblingen/Sindelfingen 2</t>
  </si>
  <si>
    <t>TV Großengstingen</t>
  </si>
  <si>
    <t>SG H2Ku Herrenberg 3</t>
  </si>
  <si>
    <t>SV Magstadt</t>
  </si>
  <si>
    <t>SG AmmerGäu</t>
  </si>
  <si>
    <t>TSG Reutlingen</t>
  </si>
  <si>
    <t>SG Ober-/Unterhausen 2</t>
  </si>
  <si>
    <t>TSV Altensteig 2</t>
  </si>
  <si>
    <t>TSV Schönaich</t>
  </si>
  <si>
    <t>TV Weilstetten 2</t>
  </si>
  <si>
    <t>HK Ostdorf/Geislingen</t>
  </si>
  <si>
    <t>SG Dunningen/Schramberg</t>
  </si>
  <si>
    <t>HSG Rietheim-Weilheim</t>
  </si>
  <si>
    <t>VfH 87 Schwenningen</t>
  </si>
  <si>
    <t>HSG Albstadt 2</t>
  </si>
  <si>
    <t>TV 1905 Streichen</t>
  </si>
  <si>
    <t>TV Onstmettingen</t>
  </si>
  <si>
    <t>MTG Wangen 2</t>
  </si>
  <si>
    <t>Bregenz Handball 2</t>
  </si>
  <si>
    <t>TSV Lindau</t>
  </si>
  <si>
    <t>HSG Friedrichshafen-Fischbach</t>
  </si>
  <si>
    <t>HSG Langenau/Elchingen 2</t>
  </si>
  <si>
    <t>SG Ulm &amp; Wiblingen</t>
  </si>
  <si>
    <t>SV Remshalden 2</t>
  </si>
  <si>
    <t>MTV Stuttgart</t>
  </si>
  <si>
    <t>TSV Schmiden 1902 2</t>
  </si>
  <si>
    <t>HSG Oberer Neckar</t>
  </si>
  <si>
    <t>TV Stetten</t>
  </si>
  <si>
    <t>TV Obertürkheim</t>
  </si>
  <si>
    <t>TV Oeffingen 1897 2</t>
  </si>
  <si>
    <t>TSV Alfdorf/Lorch/Waldhausen 2</t>
  </si>
  <si>
    <t>Verbandsliga</t>
  </si>
  <si>
    <t>Verlierer</t>
  </si>
  <si>
    <t>Landesliga</t>
  </si>
  <si>
    <t>Männer</t>
  </si>
  <si>
    <t>-</t>
  </si>
  <si>
    <t>Sieger</t>
  </si>
  <si>
    <t>Frauen</t>
  </si>
  <si>
    <t>SG Heddesheim</t>
  </si>
  <si>
    <t>HSG Walzbachtal</t>
  </si>
  <si>
    <t>TSV Rintheim</t>
  </si>
  <si>
    <t>TSV Rot-Malsch</t>
  </si>
  <si>
    <t>TSV Birkenau</t>
  </si>
  <si>
    <t>TSG Wiesloch</t>
  </si>
  <si>
    <t>HSG TSG Weinheim-TV Oberflockenbach</t>
  </si>
  <si>
    <t>TV Edingen</t>
  </si>
  <si>
    <t>SG Heidelsheim/Helmsheim</t>
  </si>
  <si>
    <t>TV Brühl</t>
  </si>
  <si>
    <t>KuSG Leimen</t>
  </si>
  <si>
    <t>SG Nußloch</t>
  </si>
  <si>
    <t>HC Mannheim-Vogelstang</t>
  </si>
  <si>
    <t>Saase3 Leutershausen Handball</t>
  </si>
  <si>
    <t>HG Königshofen/Sachsenflur</t>
  </si>
  <si>
    <t>SG KIT/MTV Karlsruhe</t>
  </si>
  <si>
    <t>TSV Handschuhsheim Frauen</t>
  </si>
  <si>
    <t>HSG St. Leon/Reilingen 2</t>
  </si>
  <si>
    <t>TG 88 Pforzheim 2</t>
  </si>
  <si>
    <t>Rhein-Neckar Löwen</t>
  </si>
  <si>
    <t>TG Neureut</t>
  </si>
  <si>
    <t>TSV Rintheim 2</t>
  </si>
  <si>
    <t>TV Schriesheim</t>
  </si>
  <si>
    <t>Turnerschaft Mühlburg</t>
  </si>
  <si>
    <t>HSG Ettlingen</t>
  </si>
  <si>
    <t>SG Eggenstein-Leopoldshafen</t>
  </si>
  <si>
    <t>HSG Walzbachtal 2</t>
  </si>
  <si>
    <t>Turnerschaft Durlach</t>
  </si>
  <si>
    <t xml:space="preserve">SG Neuthard/Büchenau </t>
  </si>
  <si>
    <t>SG Hambrücken/Weiher</t>
  </si>
  <si>
    <t>SG Pforzheim/Eutingen</t>
  </si>
  <si>
    <t>SV Langensteinbach</t>
  </si>
  <si>
    <t>SG Niefern/Mühlacker</t>
  </si>
  <si>
    <t>SGH Waldbrunn/Eberbach</t>
  </si>
  <si>
    <t>HG Oftersheim/Schwetzingen 2</t>
  </si>
  <si>
    <t>HSG Bergstraße</t>
  </si>
  <si>
    <t>SG Nußloch 2</t>
  </si>
  <si>
    <t>TV Mosbach</t>
  </si>
  <si>
    <t>TSV Rot-Malsch 2</t>
  </si>
  <si>
    <t>TV Bammental</t>
  </si>
  <si>
    <t>TSV HD-Wieblingen</t>
  </si>
  <si>
    <t>SG Walldorf Astoria 1902 Frauen</t>
  </si>
  <si>
    <t>SG Pforzheim/Eutingen 2</t>
  </si>
  <si>
    <t>TV Hardheim 1895</t>
  </si>
  <si>
    <t>TSV Amicitia 06/09 Viernheim</t>
  </si>
  <si>
    <t>TSV Knittlingen</t>
  </si>
  <si>
    <t>Handball Wölfe Plankstadt e.V.</t>
  </si>
  <si>
    <t>HSG Weschnitztal</t>
  </si>
  <si>
    <t>TV Knielingen</t>
  </si>
  <si>
    <t>TV Friedrichsfeld</t>
  </si>
  <si>
    <t>TSV Handschuhsheim</t>
  </si>
  <si>
    <t>HSG Bruchsal/Untergrombach</t>
  </si>
  <si>
    <t>TV Eppelheim</t>
  </si>
  <si>
    <t>TV Ispringen</t>
  </si>
  <si>
    <t>HSV Hockenheim</t>
  </si>
  <si>
    <t>Saase3 Leutershausen Handball 3</t>
  </si>
  <si>
    <t>TSG Germania Dossenheim</t>
  </si>
  <si>
    <t>SG Heidelsheim/Helmsheim 2</t>
  </si>
  <si>
    <t>TV Gondelsheim</t>
  </si>
  <si>
    <t>SG Stutensee-Weingarten</t>
  </si>
  <si>
    <t>HC Neuenbürg 2000 2</t>
  </si>
  <si>
    <t>Post Südstadt Karlsruhe</t>
  </si>
  <si>
    <t>SG Sulzfeld/Bretten</t>
  </si>
  <si>
    <t>TV Hemsbach</t>
  </si>
  <si>
    <t>TSG Ketsch</t>
  </si>
  <si>
    <t xml:space="preserve">SG Heidelberg-Leimen </t>
  </si>
  <si>
    <t>TSV 1863 Buchen</t>
  </si>
  <si>
    <t>TG Laudenbach</t>
  </si>
  <si>
    <t>HSG St. Leon/Reilingen</t>
  </si>
  <si>
    <t>HSG Dittigheim/Tauberbischofsheim</t>
  </si>
  <si>
    <t>HA Neckarelz</t>
  </si>
  <si>
    <t>TG 88 Pforzheim</t>
  </si>
  <si>
    <t>BHV roh</t>
  </si>
  <si>
    <t>HSG Konstanz 2</t>
  </si>
  <si>
    <t>TuS Steißlingen</t>
  </si>
  <si>
    <t>HTV Meißenheim</t>
  </si>
  <si>
    <t>TuS Altenheim</t>
  </si>
  <si>
    <t>SG Kenzingen/Herbolzheim</t>
  </si>
  <si>
    <t>TV Ehingen</t>
  </si>
  <si>
    <t>TV Oberkirch</t>
  </si>
  <si>
    <t>SG Kappelwindeck/Steinbach</t>
  </si>
  <si>
    <t>BSV Phönix Sinzheim</t>
  </si>
  <si>
    <t>TuS Helmlingen</t>
  </si>
  <si>
    <t>SG Muggensturm/Kuppenheim</t>
  </si>
  <si>
    <t>SG Ohlsbach/Elgersweier</t>
  </si>
  <si>
    <t>SG Freudenstadt/Baiersbronn</t>
  </si>
  <si>
    <t>SG Scutro</t>
  </si>
  <si>
    <t>HSG Nonnenweier/Ottenheim</t>
  </si>
  <si>
    <t>ASV Ottenhöfen</t>
  </si>
  <si>
    <t>TuS Schutterwald 2</t>
  </si>
  <si>
    <t>TV Sandweier 2</t>
  </si>
  <si>
    <t>HGW Hofweier</t>
  </si>
  <si>
    <t>HSG Ortenau Süd</t>
  </si>
  <si>
    <t>SV Zunsweier</t>
  </si>
  <si>
    <t>TuS Oppenau</t>
  </si>
  <si>
    <t>HSG Hanauerland</t>
  </si>
  <si>
    <t>SG Gutach/Wolfach</t>
  </si>
  <si>
    <t>HTV Meißenheim 2</t>
  </si>
  <si>
    <t>Murgtal Panthers</t>
  </si>
  <si>
    <t>TV St. Georgen/Schw.</t>
  </si>
  <si>
    <t>SG Hornberg/Lauterbach/Triberg</t>
  </si>
  <si>
    <t>TSV Alemannia Freiburg-Zähringen</t>
  </si>
  <si>
    <t>TuS Ringsheim</t>
  </si>
  <si>
    <t>SG Köndringen/Teningen 2</t>
  </si>
  <si>
    <t>SG Waldkirch/Denzlingen</t>
  </si>
  <si>
    <t>HSG Dreiland</t>
  </si>
  <si>
    <t>TuS Steißlingen 2</t>
  </si>
  <si>
    <t>SG Maulburg/Steinen</t>
  </si>
  <si>
    <t>HSG Mimmenhausen/Mühlhofen</t>
  </si>
  <si>
    <t>TV Pfullendorf</t>
  </si>
  <si>
    <t>HG Müllheim/Neuenburg</t>
  </si>
  <si>
    <t>HandBall Löwen Heitersheim</t>
  </si>
  <si>
    <t>TuS Oberhausen</t>
  </si>
  <si>
    <t>SG Allensbach/Dettingen-Wallhausen</t>
  </si>
  <si>
    <t>DJK Singen</t>
  </si>
  <si>
    <t>SG Kappelwindeck/Steinbach 2</t>
  </si>
  <si>
    <t>SG Ottersweier/Großweier</t>
  </si>
  <si>
    <t>HR Rastatt/Niederbühl</t>
  </si>
  <si>
    <t>TuS Altenheim 2</t>
  </si>
  <si>
    <t>HB Kinzigtal</t>
  </si>
  <si>
    <t>TSV Alemannia Freiburg-Zähringen 2</t>
  </si>
  <si>
    <t>TSV March</t>
  </si>
  <si>
    <t>HSC Radolfzell</t>
  </si>
  <si>
    <t>Umsortierung HVW</t>
  </si>
  <si>
    <t>SHV roh</t>
  </si>
  <si>
    <t>Anzahl Absteiger aus Regionalliga</t>
  </si>
  <si>
    <t>Variation der Anzahl</t>
  </si>
  <si>
    <t>Anzahl für Simulation</t>
  </si>
  <si>
    <t>Quali-</t>
  </si>
  <si>
    <t>fikation</t>
  </si>
  <si>
    <t>fik. OL</t>
  </si>
  <si>
    <t>fik. VL</t>
  </si>
  <si>
    <t>Qualifi-</t>
  </si>
  <si>
    <t>kation</t>
  </si>
  <si>
    <t>Was wäre wenn… (die reguläre Saison zu Ende wäre)</t>
  </si>
  <si>
    <t>Stand:</t>
  </si>
  <si>
    <t>Vers.</t>
  </si>
  <si>
    <t>F-OL</t>
  </si>
  <si>
    <t>HSG Freiburg 2</t>
  </si>
  <si>
    <t>TuS Ottenheim</t>
  </si>
  <si>
    <t>SG Dornstetten</t>
  </si>
  <si>
    <t>SV Allensbach 2</t>
  </si>
  <si>
    <t>F-LL-N</t>
  </si>
  <si>
    <t>SG Baden-Baden/Sandweier</t>
  </si>
  <si>
    <t>SG Ohlsbach/Elgersweier/Zunsweier</t>
  </si>
  <si>
    <t>HSG Meißenheim/Nonnenweier</t>
  </si>
  <si>
    <t>TuS Ottenheim 2</t>
  </si>
  <si>
    <t>F-LL-S</t>
  </si>
  <si>
    <t>SG TG Altdorf/DJK Ettenheim</t>
  </si>
  <si>
    <t>SF Eintr. Freiburg</t>
  </si>
  <si>
    <t>HSG Konstanz</t>
  </si>
  <si>
    <t>HSG Freiburg 3</t>
  </si>
  <si>
    <t>HSG Oberer Hegau</t>
  </si>
  <si>
    <t>F-BOL</t>
  </si>
  <si>
    <t>F-LL-AES</t>
  </si>
  <si>
    <t>F-LL-RNT</t>
  </si>
  <si>
    <t>BHV Männer</t>
  </si>
  <si>
    <t>BHV Frauen</t>
  </si>
  <si>
    <t>TG Nürtingen 2 (zurückgez.)</t>
  </si>
  <si>
    <t>HSG Cannstatt/Münster/Max-Eyth-See</t>
  </si>
  <si>
    <t>SG Argental</t>
  </si>
  <si>
    <t>FSG Giengen-Brenz</t>
  </si>
  <si>
    <t>SG Lauterstein/Treffelhausen/Böhmenkirch</t>
  </si>
  <si>
    <t>SG Burlafingen/PSV Ulm</t>
  </si>
  <si>
    <t>TSG Söflingen &amp; Ehingen</t>
  </si>
  <si>
    <t>HSG Odenwald-Bauland</t>
  </si>
  <si>
    <t>TB Richen</t>
  </si>
  <si>
    <t>TV Mosbach 2</t>
  </si>
  <si>
    <t>Sport-Union Neckarsulm 3</t>
  </si>
  <si>
    <t>HSG Heilbronn 2</t>
  </si>
  <si>
    <t>HSG Kochertürn/Stein 2</t>
  </si>
  <si>
    <t>SG Weissach im Tal</t>
  </si>
  <si>
    <t>TV Aldingen</t>
  </si>
  <si>
    <t>HC Metter-Enz</t>
  </si>
  <si>
    <t>TSV Korntal</t>
  </si>
  <si>
    <t>TSV Wiernsheim</t>
  </si>
  <si>
    <t>SV Hohenacker-Neustadt 2</t>
  </si>
  <si>
    <t>VfL Waiblingen Handball 3</t>
  </si>
  <si>
    <t>HSG Leinfelden-Echterdingen 2</t>
  </si>
  <si>
    <t>HC Wernau</t>
  </si>
  <si>
    <t>VfL Kirchheim</t>
  </si>
  <si>
    <t>TV Reichenbach 2</t>
  </si>
  <si>
    <t>SV Vaihingen</t>
  </si>
  <si>
    <t>TSV Köngen 2</t>
  </si>
  <si>
    <t>TB Neuffen 2</t>
  </si>
  <si>
    <t>FSG Altenstadt/Geislingen</t>
  </si>
  <si>
    <t>HSG Bargau/Bettringen 2</t>
  </si>
  <si>
    <t>TSG Eislingen</t>
  </si>
  <si>
    <t>Aalener Sportallianz</t>
  </si>
  <si>
    <t>TV 1861 Rottenburg</t>
  </si>
  <si>
    <t>SV Leonberg/Eltingen 2</t>
  </si>
  <si>
    <t>SKV Rutesheim</t>
  </si>
  <si>
    <t>HSG Baar 2</t>
  </si>
  <si>
    <t>HC Frittlingen-Balgheim-Neufra</t>
  </si>
  <si>
    <t>Alpla HC Hard</t>
  </si>
  <si>
    <t>Bregenz Handball</t>
  </si>
  <si>
    <t>HC LJG Vogt</t>
  </si>
  <si>
    <t>TSG Ailingen</t>
  </si>
  <si>
    <t>TSF Ludwigsfeld</t>
  </si>
  <si>
    <t>SG Argental 2</t>
  </si>
  <si>
    <t>HSG Illertal</t>
  </si>
  <si>
    <t>HVW Frauen</t>
  </si>
  <si>
    <t>HVW Männer</t>
  </si>
  <si>
    <t>HSG Freiburg</t>
  </si>
  <si>
    <t>HCD Gröbenzell</t>
  </si>
  <si>
    <t>TSG Friesenheim</t>
  </si>
  <si>
    <t>RPS</t>
  </si>
  <si>
    <t>TSV Haunstetten</t>
  </si>
  <si>
    <t>HC Erlangen</t>
  </si>
  <si>
    <t>SV Allensbach</t>
  </si>
  <si>
    <t>HSG Stuttgart Metzingen</t>
  </si>
  <si>
    <t>TSV Schwabmünchen</t>
  </si>
  <si>
    <t>HC Schmiden/Oeffingen</t>
  </si>
  <si>
    <t>Sport-Union Neckarsulm 2</t>
  </si>
  <si>
    <t>Frisch Auf Göppingen 2</t>
  </si>
  <si>
    <t>TV Nellingen (zurückgezogen)</t>
  </si>
  <si>
    <t>Puf</t>
  </si>
  <si>
    <t>Puf1</t>
  </si>
  <si>
    <t>Puffer-Platz 1</t>
  </si>
  <si>
    <t>Puf2</t>
  </si>
  <si>
    <t>Puffer-Platz 2</t>
  </si>
  <si>
    <t>Versatz</t>
  </si>
  <si>
    <t>Absteiger RL (ermittelt/simuliert)</t>
  </si>
  <si>
    <t>ab Platz (direkt/Puffer)</t>
  </si>
  <si>
    <t>M-3. Liga S</t>
  </si>
  <si>
    <t>M-RL</t>
  </si>
  <si>
    <t>F-3. Liga S</t>
  </si>
  <si>
    <t>F-RL</t>
  </si>
  <si>
    <t>Koeffizient</t>
  </si>
  <si>
    <t>M-OL</t>
  </si>
  <si>
    <t>M-VL-1</t>
  </si>
  <si>
    <t>M-VL-2</t>
  </si>
  <si>
    <t>M-LL-1</t>
  </si>
  <si>
    <t>M-LL-2</t>
  </si>
  <si>
    <t>M-LL-3</t>
  </si>
  <si>
    <t>M-LL-4</t>
  </si>
  <si>
    <t>M-BOL-HF</t>
  </si>
  <si>
    <t>M-BOL-EM</t>
  </si>
  <si>
    <t>M-BOL-RS</t>
  </si>
  <si>
    <t>M-BOL-ET</t>
  </si>
  <si>
    <t>M-BOL-St</t>
  </si>
  <si>
    <t>M-BOL-AN</t>
  </si>
  <si>
    <t>M-BOL-NZ</t>
  </si>
  <si>
    <t>M-BOL-BD</t>
  </si>
  <si>
    <t>Beschreibung</t>
  </si>
  <si>
    <t>F-VL-1</t>
  </si>
  <si>
    <t>F-VL-2</t>
  </si>
  <si>
    <t>F-LL-1</t>
  </si>
  <si>
    <t>F-LL-2</t>
  </si>
  <si>
    <t>F-LL-3</t>
  </si>
  <si>
    <t>F-LL-4</t>
  </si>
  <si>
    <t>F-BOL-HF</t>
  </si>
  <si>
    <t>F-BOL-EM</t>
  </si>
  <si>
    <t>F-BOL-RS</t>
  </si>
  <si>
    <t>F-BOL-ET</t>
  </si>
  <si>
    <t>F-BOL-St</t>
  </si>
  <si>
    <t>F-BOL-AN</t>
  </si>
  <si>
    <t>F-BOL-NZ</t>
  </si>
  <si>
    <t>F-BOL-BD</t>
  </si>
  <si>
    <t>M-VL</t>
  </si>
  <si>
    <t>M-LL-AES</t>
  </si>
  <si>
    <t>M-LL-RNT</t>
  </si>
  <si>
    <t>F-VL</t>
  </si>
  <si>
    <t>.</t>
  </si>
  <si>
    <t>SHV Männer</t>
  </si>
  <si>
    <t>SHV Frauen</t>
  </si>
  <si>
    <t>M-BOL Auf</t>
  </si>
  <si>
    <t>M-LL-S</t>
  </si>
  <si>
    <t>M-LL-N</t>
  </si>
  <si>
    <t>VL-A</t>
  </si>
  <si>
    <t>Rang roh</t>
  </si>
  <si>
    <t>Pufferplatz</t>
  </si>
  <si>
    <t>PL Platz 1</t>
  </si>
  <si>
    <t>PL Platz 2</t>
  </si>
  <si>
    <t>Aufsteiger</t>
  </si>
  <si>
    <t>Aufstiegsrunde</t>
  </si>
  <si>
    <t>RL Platz 1</t>
  </si>
  <si>
    <t>RL Platz 2</t>
  </si>
  <si>
    <t>OLW Platz 1</t>
  </si>
  <si>
    <t>OLW Platz 2</t>
  </si>
  <si>
    <t>Bezirk</t>
  </si>
  <si>
    <t xml:space="preserve"> (BOL, ev. BL)</t>
  </si>
  <si>
    <t>fik. LL</t>
  </si>
  <si>
    <t>TV Möglingen (zurückgez.)</t>
  </si>
  <si>
    <t>Absteiger</t>
  </si>
  <si>
    <t>DIE ANGABEN SIND NACH BESTEM WISSEN UND GEWISSEN ZUSAMMENGETRAGEN, AUFGRUND DER KOMPLEXITÄT KANN ABER KEINE ABSOLUTE GEWÄHR FÜR DIE KORREKTHEIT ÜBERNOMMEN WERDEN</t>
  </si>
  <si>
    <t>MP_TDQ</t>
  </si>
  <si>
    <t>GTQ</t>
  </si>
  <si>
    <t>TuS Steißlingen 3</t>
  </si>
  <si>
    <t>Freiburger TS 1844</t>
  </si>
  <si>
    <t>Wer wäre für welche Liga qualifiziert und wer bestreitet die Qualifikations-/Entscheidungsspiele</t>
  </si>
  <si>
    <t>OL-Ab</t>
  </si>
  <si>
    <t>ab Rank (ohne RL-Ab)</t>
  </si>
  <si>
    <t>roh</t>
  </si>
  <si>
    <t>abs.</t>
  </si>
  <si>
    <t>Ziel Versatz</t>
  </si>
  <si>
    <t>bis vor Rank roh (ohne RL-Ab, OL-12. abgezogen)</t>
  </si>
  <si>
    <t>um 1 korrigiert (Möglingen)</t>
  </si>
  <si>
    <t>um 1 korrigiert (Nürtingen)</t>
  </si>
  <si>
    <t>AES</t>
  </si>
  <si>
    <t>RNT</t>
  </si>
  <si>
    <t>VL Platz 12</t>
  </si>
  <si>
    <t>TV Friesenheim</t>
  </si>
  <si>
    <t>08.05.2025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</si>
</sst>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C00000"/>
      <name val="Arial"/>
      <family val="2"/>
    </font>
    <font>
      <b/>
      <sz val="9"/>
      <color theme="1"/>
      <name val="Aptos Narrow"/>
      <family val="2"/>
      <scheme val="minor"/>
    </font>
    <font>
      <b/>
      <sz val="9"/>
      <color rgb="FF0070C0"/>
      <name val="Aptos Narrow"/>
      <family val="2"/>
      <scheme val="minor"/>
    </font>
    <font>
      <b/>
      <sz val="9"/>
      <name val="Aptos Narrow"/>
      <family val="2"/>
      <scheme val="minor"/>
    </font>
    <font>
      <sz val="9"/>
      <name val="Aptos Narrow"/>
      <family val="2"/>
      <scheme val="minor"/>
    </font>
    <font>
      <sz val="10"/>
      <color rgb="FFFF0000"/>
      <name val="Arial"/>
      <family val="2"/>
    </font>
    <font>
      <sz val="11"/>
      <color rgb="FFFF0000"/>
      <name val="Aptos Narrow"/>
      <family val="2"/>
      <scheme val="minor"/>
    </font>
    <font>
      <strike/>
      <sz val="11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4" fillId="7" borderId="0" xfId="0" quotePrefix="1" applyNumberFormat="1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4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16" fillId="9" borderId="0" xfId="0" applyFont="1" applyFill="1" applyAlignment="1">
      <alignment vertical="center"/>
    </xf>
    <xf numFmtId="0" fontId="17" fillId="9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14" fillId="9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10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4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10" borderId="2" xfId="0" applyFont="1" applyFill="1" applyBorder="1" applyAlignment="1">
      <alignment vertical="center"/>
    </xf>
    <xf numFmtId="0" fontId="4" fillId="10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0" borderId="2" xfId="0" quotePrefix="1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10" borderId="0" xfId="0" applyFont="1" applyFill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5" borderId="0" xfId="0" quotePrefix="1" applyFont="1" applyFill="1" applyAlignment="1">
      <alignment vertical="center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0" fontId="4" fillId="5" borderId="1" xfId="0" quotePrefix="1" applyFont="1" applyFill="1" applyBorder="1" applyAlignment="1">
      <alignment vertical="center"/>
    </xf>
    <xf numFmtId="0" fontId="14" fillId="11" borderId="2" xfId="0" applyFont="1" applyFill="1" applyBorder="1" applyAlignment="1">
      <alignment vertical="center"/>
    </xf>
    <xf numFmtId="0" fontId="4" fillId="11" borderId="2" xfId="0" applyFont="1" applyFill="1" applyBorder="1" applyAlignment="1">
      <alignment vertical="center"/>
    </xf>
    <xf numFmtId="0" fontId="4" fillId="11" borderId="0" xfId="0" applyFont="1" applyFill="1" applyAlignment="1">
      <alignment vertical="center"/>
    </xf>
    <xf numFmtId="0" fontId="4" fillId="11" borderId="0" xfId="0" applyFont="1" applyFill="1" applyAlignment="1">
      <alignment horizontal="center" vertical="center"/>
    </xf>
    <xf numFmtId="0" fontId="4" fillId="11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4" fillId="11" borderId="2" xfId="0" applyFont="1" applyFill="1" applyBorder="1" applyAlignment="1">
      <alignment horizontal="right" vertical="center"/>
    </xf>
    <xf numFmtId="0" fontId="4" fillId="11" borderId="0" xfId="0" applyFont="1" applyFill="1" applyAlignment="1">
      <alignment horizontal="right" vertical="center"/>
    </xf>
    <xf numFmtId="0" fontId="4" fillId="11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0" fontId="14" fillId="12" borderId="2" xfId="0" applyFont="1" applyFill="1" applyBorder="1" applyAlignment="1">
      <alignment vertical="center"/>
    </xf>
    <xf numFmtId="0" fontId="4" fillId="12" borderId="2" xfId="0" applyFont="1" applyFill="1" applyBorder="1" applyAlignment="1">
      <alignment vertical="center"/>
    </xf>
    <xf numFmtId="0" fontId="4" fillId="12" borderId="0" xfId="0" applyFont="1" applyFill="1" applyAlignment="1">
      <alignment vertical="center"/>
    </xf>
    <xf numFmtId="0" fontId="4" fillId="12" borderId="0" xfId="0" applyFont="1" applyFill="1" applyAlignment="1">
      <alignment horizontal="center" vertical="center"/>
    </xf>
    <xf numFmtId="0" fontId="4" fillId="12" borderId="1" xfId="0" applyFont="1" applyFill="1" applyBorder="1" applyAlignment="1">
      <alignment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10" borderId="0" xfId="0" applyFont="1" applyFill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4" fillId="4" borderId="2" xfId="0" applyFont="1" applyFill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/>
    <xf numFmtId="0" fontId="14" fillId="5" borderId="2" xfId="0" applyFont="1" applyFill="1" applyBorder="1" applyAlignment="1">
      <alignment vertical="center"/>
    </xf>
    <xf numFmtId="0" fontId="14" fillId="5" borderId="1" xfId="0" quotePrefix="1" applyFont="1" applyFill="1" applyBorder="1" applyAlignment="1">
      <alignment vertical="center"/>
    </xf>
    <xf numFmtId="0" fontId="16" fillId="5" borderId="0" xfId="0" applyFont="1" applyFill="1" applyAlignment="1">
      <alignment vertical="center"/>
    </xf>
    <xf numFmtId="0" fontId="14" fillId="5" borderId="0" xfId="0" quotePrefix="1" applyFont="1" applyFill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3" fillId="13" borderId="0" xfId="0" applyFont="1" applyFill="1"/>
    <xf numFmtId="0" fontId="14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BBC9C-2960-4904-AEC7-AC5353F7171C}">
  <dimension ref="B1:S269"/>
  <sheetViews>
    <sheetView tabSelected="1" workbookViewId="0">
      <selection activeCell="C8" sqref="C8"/>
    </sheetView>
  </sheetViews>
  <sheetFormatPr baseColWidth="10" defaultRowHeight="14.5" x14ac:dyDescent="0.35"/>
  <cols>
    <col min="1" max="1" width="2.6328125" customWidth="1"/>
    <col min="2" max="2" width="11.7265625" bestFit="1" customWidth="1"/>
    <col min="3" max="3" width="6.6328125" customWidth="1"/>
    <col min="4" max="4" width="6.54296875" bestFit="1" customWidth="1"/>
    <col min="5" max="5" width="15.6328125" customWidth="1"/>
    <col min="6" max="6" width="26.6328125" customWidth="1"/>
    <col min="7" max="7" width="1.6328125" customWidth="1"/>
    <col min="8" max="8" width="15.6328125" customWidth="1"/>
    <col min="9" max="9" width="25.6328125" customWidth="1"/>
    <col min="10" max="11" width="0.81640625" customWidth="1"/>
    <col min="12" max="12" width="11.6328125" customWidth="1"/>
    <col min="13" max="13" width="6.6328125" customWidth="1"/>
    <col min="14" max="14" width="6.54296875" bestFit="1" customWidth="1"/>
    <col min="15" max="15" width="14.6328125" customWidth="1"/>
    <col min="16" max="16" width="30.6328125" customWidth="1"/>
    <col min="17" max="17" width="1.36328125" bestFit="1" customWidth="1"/>
    <col min="18" max="18" width="14.81640625" customWidth="1"/>
    <col min="19" max="19" width="22.26953125" bestFit="1" customWidth="1"/>
  </cols>
  <sheetData>
    <row r="1" spans="2:19" ht="5" customHeight="1" x14ac:dyDescent="0.35"/>
    <row r="2" spans="2:19" ht="12" customHeight="1" x14ac:dyDescent="0.35">
      <c r="B2" s="23" t="s">
        <v>411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2:19" ht="5" customHeight="1" x14ac:dyDescent="0.35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2:19" ht="12" customHeight="1" x14ac:dyDescent="0.35">
      <c r="B4" s="23" t="s">
        <v>567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2:19" ht="5" customHeight="1" x14ac:dyDescent="0.35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2:19" ht="12" customHeight="1" x14ac:dyDescent="0.35">
      <c r="B6" s="116" t="s">
        <v>562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24"/>
      <c r="R6" s="24"/>
      <c r="S6" s="24"/>
    </row>
    <row r="7" spans="2:19" ht="5" customHeight="1" x14ac:dyDescent="0.3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2:19" ht="12" customHeight="1" x14ac:dyDescent="0.35">
      <c r="B8" s="23" t="s">
        <v>412</v>
      </c>
      <c r="C8" s="25" t="s">
        <v>580</v>
      </c>
      <c r="D8" s="26"/>
      <c r="E8" s="24"/>
      <c r="F8" s="23"/>
      <c r="G8" s="24"/>
      <c r="H8" s="23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2:19" ht="12" customHeight="1" x14ac:dyDescent="0.35">
      <c r="B9" s="24"/>
      <c r="C9" s="24"/>
      <c r="D9" s="24"/>
      <c r="E9" s="24"/>
      <c r="F9" s="2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pans="2:19" ht="12" customHeight="1" x14ac:dyDescent="0.35">
      <c r="B10" s="97" t="s">
        <v>273</v>
      </c>
      <c r="C10" s="23" t="s">
        <v>402</v>
      </c>
      <c r="D10" s="24"/>
      <c r="E10" s="24"/>
      <c r="F10" s="31">
        <f>L3_RL!F4</f>
        <v>3</v>
      </c>
      <c r="G10" s="24"/>
      <c r="H10" s="24"/>
      <c r="I10" s="24"/>
      <c r="J10" s="29"/>
      <c r="K10" s="30"/>
      <c r="L10" s="97" t="s">
        <v>276</v>
      </c>
      <c r="M10" s="23" t="s">
        <v>402</v>
      </c>
      <c r="N10" s="24"/>
      <c r="O10" s="24"/>
      <c r="P10" s="31">
        <f>L3_RL!I4</f>
        <v>5</v>
      </c>
      <c r="Q10" s="24"/>
      <c r="R10" s="24"/>
      <c r="S10" s="24"/>
    </row>
    <row r="11" spans="2:19" ht="12" customHeight="1" x14ac:dyDescent="0.35">
      <c r="B11" s="24"/>
      <c r="C11" s="24" t="s">
        <v>403</v>
      </c>
      <c r="D11" s="24"/>
      <c r="E11" s="24"/>
      <c r="F11" s="32">
        <v>0</v>
      </c>
      <c r="G11" s="24"/>
      <c r="H11" s="24"/>
      <c r="I11" s="24"/>
      <c r="J11" s="29"/>
      <c r="K11" s="30"/>
      <c r="L11" s="24"/>
      <c r="M11" s="24" t="s">
        <v>403</v>
      </c>
      <c r="N11" s="24"/>
      <c r="O11" s="24"/>
      <c r="P11" s="32">
        <v>0</v>
      </c>
      <c r="Q11" s="24"/>
      <c r="R11" s="24"/>
      <c r="S11" s="24"/>
    </row>
    <row r="12" spans="2:19" ht="12" customHeight="1" x14ac:dyDescent="0.35">
      <c r="B12" s="24"/>
      <c r="C12" s="23" t="s">
        <v>404</v>
      </c>
      <c r="D12" s="24"/>
      <c r="E12" s="24"/>
      <c r="F12" s="31">
        <f>F10+F11</f>
        <v>3</v>
      </c>
      <c r="G12" s="24"/>
      <c r="H12" s="24"/>
      <c r="I12" s="24"/>
      <c r="J12" s="29"/>
      <c r="K12" s="30"/>
      <c r="L12" s="24"/>
      <c r="M12" s="23" t="s">
        <v>404</v>
      </c>
      <c r="N12" s="24"/>
      <c r="O12" s="24"/>
      <c r="P12" s="31">
        <f>P10+P11</f>
        <v>5</v>
      </c>
      <c r="Q12" s="24"/>
      <c r="R12" s="24"/>
      <c r="S12" s="24"/>
    </row>
    <row r="13" spans="2:19" ht="5" customHeight="1" x14ac:dyDescent="0.35">
      <c r="B13" s="24"/>
      <c r="C13" s="24"/>
      <c r="D13" s="24"/>
      <c r="E13" s="24"/>
      <c r="F13" s="24"/>
      <c r="G13" s="24"/>
      <c r="H13" s="24"/>
      <c r="I13" s="24"/>
      <c r="J13" s="29"/>
      <c r="K13" s="30"/>
      <c r="L13" s="24"/>
      <c r="M13" s="24"/>
      <c r="N13" s="24"/>
      <c r="O13" s="24"/>
      <c r="P13" s="24"/>
      <c r="Q13" s="24"/>
      <c r="R13" s="24"/>
      <c r="S13" s="24"/>
    </row>
    <row r="14" spans="2:19" ht="12" customHeight="1" x14ac:dyDescent="0.35">
      <c r="B14" s="33" t="s">
        <v>72</v>
      </c>
      <c r="C14" s="34" t="s">
        <v>551</v>
      </c>
      <c r="D14" s="34"/>
      <c r="E14" s="34" t="s">
        <v>549</v>
      </c>
      <c r="F14" s="33" t="str">
        <f>L3_RL!E27</f>
        <v>SG Köndringen/Teningen</v>
      </c>
      <c r="G14" s="34"/>
      <c r="H14" s="24"/>
      <c r="I14" s="24"/>
      <c r="J14" s="29"/>
      <c r="K14" s="30"/>
      <c r="L14" s="33" t="s">
        <v>72</v>
      </c>
      <c r="M14" s="34" t="s">
        <v>552</v>
      </c>
      <c r="N14" s="34"/>
      <c r="O14" s="34" t="s">
        <v>553</v>
      </c>
      <c r="P14" s="33" t="str">
        <f>L3_RL!E60</f>
        <v>TuS Schutterwald</v>
      </c>
      <c r="Q14" s="34"/>
      <c r="R14" s="24"/>
      <c r="S14" s="24"/>
    </row>
    <row r="15" spans="2:19" ht="12" customHeight="1" x14ac:dyDescent="0.35">
      <c r="B15" s="34"/>
      <c r="C15" s="34" t="s">
        <v>551</v>
      </c>
      <c r="D15" s="34"/>
      <c r="E15" s="34" t="s">
        <v>550</v>
      </c>
      <c r="F15" s="33" t="str">
        <f>L3_RL!E28</f>
        <v>TV Bittenfeld 1898 2</v>
      </c>
      <c r="G15" s="34"/>
      <c r="H15" s="24"/>
      <c r="I15" s="24"/>
      <c r="J15" s="29"/>
      <c r="K15" s="30"/>
      <c r="L15" s="34"/>
      <c r="M15" s="34" t="s">
        <v>552</v>
      </c>
      <c r="N15" s="34"/>
      <c r="O15" s="34" t="s">
        <v>554</v>
      </c>
      <c r="P15" s="33" t="str">
        <f>L3_RL!E61</f>
        <v>HC Schmiden/Oeffingen</v>
      </c>
      <c r="Q15" s="34"/>
      <c r="R15" s="24"/>
      <c r="S15" s="24"/>
    </row>
    <row r="16" spans="2:19" ht="5" customHeight="1" x14ac:dyDescent="0.35">
      <c r="B16" s="24"/>
      <c r="C16" s="24"/>
      <c r="D16" s="24"/>
      <c r="E16" s="24"/>
      <c r="F16" s="24"/>
      <c r="G16" s="24"/>
      <c r="H16" s="24"/>
      <c r="I16" s="24"/>
      <c r="J16" s="29"/>
      <c r="K16" s="30"/>
      <c r="L16" s="24"/>
      <c r="M16" s="24"/>
      <c r="N16" s="24"/>
      <c r="O16" s="24"/>
      <c r="P16" s="24"/>
      <c r="Q16" s="24"/>
      <c r="R16" s="24"/>
      <c r="S16" s="24"/>
    </row>
    <row r="17" spans="2:19" ht="12" customHeight="1" x14ac:dyDescent="0.35">
      <c r="B17" s="35" t="s">
        <v>71</v>
      </c>
      <c r="C17" s="36"/>
      <c r="D17" s="37">
        <v>1</v>
      </c>
      <c r="E17" s="37" t="str" cm="1">
        <f t="array" ref="E17">IF(D17&lt;=L3_RL!F$3,INDEX(Rankings!D$5:D$7,L3_RL!F$3+1-D17),"nn")</f>
        <v>Absteiger 3. Liga</v>
      </c>
      <c r="F17" s="38" t="str" cm="1">
        <f t="array" ref="F17">IF(D17&lt;=L3_RL!$F$3,INDEX(Rankings!E$5:E$7,L3_RL!$F$3+1-D17),INDEX(L3_RL!E$27:E$42,L3_RL!$F$3+D17))</f>
        <v>TVS 1907 Baden-Baden</v>
      </c>
      <c r="G17" s="37"/>
      <c r="H17" s="24"/>
      <c r="I17" s="24"/>
      <c r="J17" s="29"/>
      <c r="K17" s="30"/>
      <c r="L17" s="38" t="s">
        <v>71</v>
      </c>
      <c r="M17" s="37"/>
      <c r="N17" s="37">
        <v>1</v>
      </c>
      <c r="O17" s="37" t="str" cm="1">
        <f t="array" ref="O17">IF(N17&lt;=L3_RL!I$3,INDEX(Rankings!D$307:D$309,L3_RL!I$3+1-N17),"nn")</f>
        <v>Absteiger 3. Liga</v>
      </c>
      <c r="P17" s="38" t="str" cm="1">
        <f t="array" ref="P17">IF(N17&lt;=L3_RL!$I$3,INDEX(Rankings!E$307:E$309,L3_RL!$I$3+1-N17),INDEX(L3_RL!E$60:E$73,L3_RL!$I$3+N17))</f>
        <v>HSG Stuttgart Metzingen</v>
      </c>
      <c r="Q17" s="37"/>
      <c r="R17" s="24"/>
      <c r="S17" s="24"/>
    </row>
    <row r="18" spans="2:19" ht="12" customHeight="1" x14ac:dyDescent="0.35">
      <c r="B18" s="36"/>
      <c r="C18" s="36"/>
      <c r="D18" s="37">
        <v>2</v>
      </c>
      <c r="E18" s="37" t="str" cm="1">
        <f t="array" ref="E18">IF(D18&lt;=L3_RL!F$3,INDEX(Rankings!D$5:D$7,L3_RL!F$3+1-D18),"RL Platz "&amp;(L3_RL!F$3+D18))</f>
        <v>RL Platz 3</v>
      </c>
      <c r="F18" s="38" t="str" cm="1">
        <f t="array" ref="F18">IF(D18&lt;=L3_RL!$F$3,INDEX(Rankings!E$5:E$7,L3_RL!$F$3+1-D18),INDEX(L3_RL!E$27:E$42,L3_RL!$F$3+D18))</f>
        <v>TSB Schwäbisch Gmünd</v>
      </c>
      <c r="G18" s="37"/>
      <c r="H18" s="24"/>
      <c r="I18" s="24"/>
      <c r="J18" s="29"/>
      <c r="K18" s="30"/>
      <c r="L18" s="37"/>
      <c r="M18" s="37"/>
      <c r="N18" s="37">
        <v>2</v>
      </c>
      <c r="O18" s="37" t="str" cm="1">
        <f t="array" ref="O18">IF(N18&lt;=L3_RL!I$3,INDEX(Rankings!D$307:D$309,L3_RL!I$3+1-N18),"RL Platz "&amp;(L3_RL!I$3+N18))</f>
        <v>RL Platz 3</v>
      </c>
      <c r="P18" s="38" t="str" cm="1">
        <f t="array" ref="P18">IF(N18&lt;=L3_RL!$I$3,INDEX(Rankings!E$307:E$309,L3_RL!$I$3+1-N18),INDEX(L3_RL!E$60:E$73,L3_RL!$I$3+N18))</f>
        <v>Sport-Union Neckarsulm 2</v>
      </c>
      <c r="Q18" s="37"/>
      <c r="R18" s="24"/>
      <c r="S18" s="24"/>
    </row>
    <row r="19" spans="2:19" ht="12" customHeight="1" x14ac:dyDescent="0.35">
      <c r="B19" s="36"/>
      <c r="C19" s="36"/>
      <c r="D19" s="37">
        <v>3</v>
      </c>
      <c r="E19" s="37" t="str" cm="1">
        <f t="array" ref="E19">IF(D19&lt;=L3_RL!F$3,INDEX(Rankings!D$5:D$7,L3_RL!F$3+1-D19),"RL Platz "&amp;(L3_RL!F$3+D19))</f>
        <v>RL Platz 4</v>
      </c>
      <c r="F19" s="38" t="str" cm="1">
        <f t="array" ref="F19">IF(D19&lt;=L3_RL!$F$3,INDEX(Rankings!E$5:E$7,L3_RL!$F$3+1-D19),INDEX(L3_RL!E$27:E$42,L3_RL!$F$3+D19))</f>
        <v>HSG Ostfildern</v>
      </c>
      <c r="G19" s="37"/>
      <c r="H19" s="24"/>
      <c r="I19" s="24"/>
      <c r="J19" s="29"/>
      <c r="K19" s="30"/>
      <c r="L19" s="37"/>
      <c r="M19" s="37"/>
      <c r="N19" s="37">
        <v>3</v>
      </c>
      <c r="O19" s="37" t="str" cm="1">
        <f t="array" ref="O19">IF(N19&lt;=L3_RL!I$3,INDEX(Rankings!D$307:D$309,L3_RL!I$3+1-N19),"RL Platz "&amp;(L3_RL!I$3+N19))</f>
        <v>RL Platz 4</v>
      </c>
      <c r="P19" s="38" t="str" cm="1">
        <f t="array" ref="P19">IF(N19&lt;=L3_RL!$I$3,INDEX(Rankings!E$307:E$309,L3_RL!$I$3+1-N19),INDEX(L3_RL!E$60:E$73,L3_RL!$I$3+N19))</f>
        <v>Frisch Auf Göppingen 2</v>
      </c>
      <c r="Q19" s="37"/>
      <c r="R19" s="24"/>
      <c r="S19" s="24"/>
    </row>
    <row r="20" spans="2:19" ht="12" customHeight="1" x14ac:dyDescent="0.35">
      <c r="B20" s="36"/>
      <c r="C20" s="36"/>
      <c r="D20" s="37">
        <v>4</v>
      </c>
      <c r="E20" s="37" t="str" cm="1">
        <f t="array" ref="E20">IF(D20&lt;=L3_RL!F$3,INDEX(Rankings!D$5:D$7,L3_RL!F$3+1-D20),"RL Platz "&amp;(L3_RL!F$3+D20))</f>
        <v>RL Platz 5</v>
      </c>
      <c r="F20" s="38" t="str" cm="1">
        <f t="array" ref="F20">IF(D20&lt;=L3_RL!$F$3,INDEX(Rankings!E$5:E$7,L3_RL!$F$3+1-D20),INDEX(L3_RL!E$27:E$42,L3_RL!$F$3+D20))</f>
        <v>HSG Albstadt</v>
      </c>
      <c r="G20" s="37"/>
      <c r="H20" s="24"/>
      <c r="I20" s="24"/>
      <c r="J20" s="29"/>
      <c r="K20" s="30"/>
      <c r="L20" s="37"/>
      <c r="M20" s="37"/>
      <c r="N20" s="37">
        <v>4</v>
      </c>
      <c r="O20" s="37" t="str" cm="1">
        <f t="array" ref="O20">IF(N20&lt;=L3_RL!I$3,INDEX(Rankings!D$307:D$309,L3_RL!I$3+1-N20),"RL Platz "&amp;(L3_RL!I$3+N20))</f>
        <v>RL Platz 5</v>
      </c>
      <c r="P20" s="38" t="str" cm="1">
        <f t="array" ref="P20">IF(N20&lt;=L3_RL!$I$3,INDEX(Rankings!E$307:E$309,L3_RL!$I$3+1-N20),INDEX(L3_RL!E$60:E$73,L3_RL!$I$3+N20))</f>
        <v>TSV Bönnigheim</v>
      </c>
      <c r="Q20" s="37"/>
      <c r="R20" s="24"/>
      <c r="S20" s="24"/>
    </row>
    <row r="21" spans="2:19" ht="12" customHeight="1" x14ac:dyDescent="0.35">
      <c r="B21" s="36"/>
      <c r="C21" s="36"/>
      <c r="D21" s="37">
        <v>5</v>
      </c>
      <c r="E21" s="37" t="str" cm="1">
        <f t="array" ref="E21">IF(D21&lt;=L3_RL!F$3,INDEX(Rankings!D$5:D$7,L3_RL!F$3+1-D21),"RL Platz "&amp;(L3_RL!F$3+D21))</f>
        <v>RL Platz 6</v>
      </c>
      <c r="F21" s="38" t="str" cm="1">
        <f t="array" ref="F21">IF(D21&lt;=L3_RL!$F$3,INDEX(Rankings!E$5:E$7,L3_RL!$F$3+1-D21),INDEX(L3_RL!E$27:E$42,L3_RL!$F$3+D21))</f>
        <v>VfL Waiblingen Handball</v>
      </c>
      <c r="G21" s="37"/>
      <c r="H21" s="24"/>
      <c r="I21" s="24"/>
      <c r="J21" s="29"/>
      <c r="K21" s="30"/>
      <c r="L21" s="37"/>
      <c r="M21" s="37"/>
      <c r="N21" s="37">
        <v>5</v>
      </c>
      <c r="O21" s="37" t="str" cm="1">
        <f t="array" ref="O21">IF(N21&lt;=L3_RL!I$3,INDEX(Rankings!D$307:D$309,L3_RL!I$3+1-N21),"RL Platz "&amp;(L3_RL!I$3+N21))</f>
        <v>RL Platz 6</v>
      </c>
      <c r="P21" s="38" t="str" cm="1">
        <f t="array" ref="P21">IF(N21&lt;=L3_RL!$I$3,INDEX(Rankings!E$307:E$309,L3_RL!$I$3+1-N21),INDEX(L3_RL!E$60:E$73,L3_RL!$I$3+N21))</f>
        <v>HSG Leinfelden-Echterdingen</v>
      </c>
      <c r="Q21" s="37"/>
      <c r="R21" s="24"/>
      <c r="S21" s="24"/>
    </row>
    <row r="22" spans="2:19" ht="12" customHeight="1" x14ac:dyDescent="0.35">
      <c r="B22" s="36"/>
      <c r="C22" s="36"/>
      <c r="D22" s="37">
        <v>6</v>
      </c>
      <c r="E22" s="37" t="str" cm="1">
        <f t="array" ref="E22">IF(D22&lt;=L3_RL!F$3,INDEX(Rankings!D$5:D$7,L3_RL!F$3+1-D22),"RL Platz "&amp;(L3_RL!F$3+D22))</f>
        <v>RL Platz 7</v>
      </c>
      <c r="F22" s="38" t="str" cm="1">
        <f t="array" ref="F22">IF(D22&lt;=L3_RL!$F$3,INDEX(Rankings!E$5:E$7,L3_RL!$F$3+1-D22),INDEX(L3_RL!E$27:E$42,L3_RL!$F$3+D22))</f>
        <v>TSV Heiningen 1892</v>
      </c>
      <c r="G22" s="37"/>
      <c r="H22" s="24"/>
      <c r="I22" s="24"/>
      <c r="J22" s="29"/>
      <c r="K22" s="30"/>
      <c r="L22" s="37"/>
      <c r="M22" s="37"/>
      <c r="N22" s="37">
        <v>6</v>
      </c>
      <c r="O22" s="37" t="str" cm="1">
        <f t="array" ref="O22">IF(N22&lt;=L3_RL!I$3,INDEX(Rankings!D$307:D$309,L3_RL!I$3+1-N22),"RL Platz "&amp;(L3_RL!I$3+N22))</f>
        <v>RL Platz 7</v>
      </c>
      <c r="P22" s="38" t="str" cm="1">
        <f t="array" ref="P22">IF(N22&lt;=L3_RL!$I$3,INDEX(Rankings!E$307:E$309,L3_RL!$I$3+1-N22),INDEX(L3_RL!E$60:E$73,L3_RL!$I$3+N22))</f>
        <v>TuS Steißlingen</v>
      </c>
      <c r="Q22" s="37"/>
      <c r="R22" s="24"/>
      <c r="S22" s="24"/>
    </row>
    <row r="23" spans="2:19" ht="12" customHeight="1" x14ac:dyDescent="0.35">
      <c r="B23" s="36"/>
      <c r="C23" s="36"/>
      <c r="D23" s="37">
        <v>7</v>
      </c>
      <c r="E23" s="37" t="str" cm="1">
        <f t="array" ref="E23">IF(D23&lt;=L3_RL!F$3,INDEX(Rankings!D$5:D$7,L3_RL!F$3+1-D23),"RL Platz "&amp;(L3_RL!F$3+D23))</f>
        <v>RL Platz 8</v>
      </c>
      <c r="F23" s="38" t="str" cm="1">
        <f t="array" ref="F23">IF(D23&lt;=L3_RL!$F$3,INDEX(Rankings!E$5:E$7,L3_RL!$F$3+1-D23),INDEX(L3_RL!E$27:E$42,L3_RL!$F$3+D23))</f>
        <v>TV Willstätt</v>
      </c>
      <c r="G23" s="37"/>
      <c r="H23" s="24"/>
      <c r="I23" s="24"/>
      <c r="J23" s="29"/>
      <c r="K23" s="30"/>
      <c r="L23" s="37"/>
      <c r="M23" s="37"/>
      <c r="N23" s="37">
        <v>7</v>
      </c>
      <c r="O23" s="37" t="str" cm="1">
        <f t="array" ref="O23">IF(N23&lt;=L3_RL!I$3,INDEX(Rankings!D$307:D$309,L3_RL!I$3+1-N23),"RL Platz "&amp;(L3_RL!I$3+N23))</f>
        <v>RL Platz 8</v>
      </c>
      <c r="P23" s="37" t="str" cm="1">
        <f t="array" ref="P23">IF(N23&lt;=L3_RL!$I$3,INDEX(Rankings!E$307:E$309,L3_RL!$I$3+1-N23),INDEX(L3_RL!E$60:E$73,L3_RL!$I$3+N23))</f>
        <v>HG Oftersheim/Schwetzingen</v>
      </c>
      <c r="Q23" s="37"/>
      <c r="R23" s="24"/>
      <c r="S23" s="24"/>
    </row>
    <row r="24" spans="2:19" ht="12" customHeight="1" x14ac:dyDescent="0.35">
      <c r="B24" s="36"/>
      <c r="C24" s="36"/>
      <c r="D24" s="37">
        <v>8</v>
      </c>
      <c r="E24" s="37" t="str" cm="1">
        <f t="array" ref="E24">IF(D24&lt;=L3_RL!F$3,INDEX(Rankings!D$5:D$7,L3_RL!F$3+1-D24),"RL Platz "&amp;(L3_RL!F$3+D24))</f>
        <v>RL Platz 9</v>
      </c>
      <c r="F24" s="38" t="str" cm="1">
        <f t="array" ref="F24">IF(D24&lt;=L3_RL!$F$3,INDEX(Rankings!E$5:E$7,L3_RL!$F$3+1-D24),INDEX(L3_RL!E$27:E$42,L3_RL!$F$3+D24))</f>
        <v>TV Plochingen</v>
      </c>
      <c r="G24" s="37"/>
      <c r="H24" s="24"/>
      <c r="I24" s="24"/>
      <c r="J24" s="29"/>
      <c r="K24" s="30"/>
      <c r="L24" s="37"/>
      <c r="M24" s="37"/>
      <c r="N24" s="37">
        <v>8</v>
      </c>
      <c r="O24" s="37" t="str" cm="1">
        <f t="array" ref="O24">IF(N24&lt;=L3_RL!I$3,INDEX(Rankings!D$307:D$309,L3_RL!I$3+1-N24),"RL Platz "&amp;(L3_RL!I$3+N24))</f>
        <v>RL Platz 9</v>
      </c>
      <c r="P24" s="37" t="str" cm="1">
        <f t="array" ref="P24">IF(N24&lt;=L3_RL!$I$3,INDEX(Rankings!E$307:E$309,L3_RL!$I$3+1-N24),INDEX(L3_RL!E$60:E$73,L3_RL!$I$3+N24))</f>
        <v>SG H2Ku Herrenberg</v>
      </c>
      <c r="Q24" s="37"/>
      <c r="R24" s="24"/>
      <c r="S24" s="24"/>
    </row>
    <row r="25" spans="2:19" ht="12" customHeight="1" x14ac:dyDescent="0.35">
      <c r="B25" s="36"/>
      <c r="C25" s="36"/>
      <c r="D25" s="37">
        <v>9</v>
      </c>
      <c r="E25" s="37" t="str" cm="1">
        <f t="array" ref="E25">IF(D25&lt;=L3_RL!F$3,INDEX(Rankings!D$5:D$7,L3_RL!F$3+1-D25),"RL Platz "&amp;(L3_RL!F$3+D25))</f>
        <v>RL Platz 10</v>
      </c>
      <c r="F25" s="38" t="str" cm="1">
        <f t="array" ref="F25">IF(D25&lt;=L3_RL!$F$3,INDEX(Rankings!E$5:E$7,L3_RL!$F$3+1-D25),INDEX(L3_RL!E$27:E$42,L3_RL!$F$3+D25))</f>
        <v>HC Neuenbürg 2000</v>
      </c>
      <c r="G25" s="37"/>
      <c r="H25" s="24"/>
      <c r="I25" s="24"/>
      <c r="J25" s="29"/>
      <c r="K25" s="30"/>
      <c r="L25" s="37"/>
      <c r="M25" s="37"/>
      <c r="N25" s="37"/>
      <c r="O25" s="37"/>
      <c r="P25" s="37"/>
      <c r="Q25" s="37"/>
      <c r="R25" s="24"/>
      <c r="S25" s="24"/>
    </row>
    <row r="26" spans="2:19" ht="12" customHeight="1" x14ac:dyDescent="0.35">
      <c r="B26" s="36"/>
      <c r="C26" s="36"/>
      <c r="D26" s="37">
        <v>10</v>
      </c>
      <c r="E26" s="37" t="str" cm="1">
        <f t="array" ref="E26">IF(D26&lt;=L3_RL!F$3,INDEX(Rankings!D$5:D$7,L3_RL!F$3+1-D26),"RL Platz "&amp;(L3_RL!F$3+D26))</f>
        <v>RL Platz 11</v>
      </c>
      <c r="F26" s="38" t="str" cm="1">
        <f t="array" ref="F26">IF(D26&lt;=L3_RL!$F$3,INDEX(Rankings!E$5:E$7,L3_RL!$F$3+1-D26),INDEX(L3_RL!E$27:E$42,L3_RL!$F$3+D26))</f>
        <v>TSV 1866 Weinsberg</v>
      </c>
      <c r="G26" s="37"/>
      <c r="H26" s="24"/>
      <c r="I26" s="24"/>
      <c r="J26" s="29"/>
      <c r="K26" s="30"/>
      <c r="L26" s="37"/>
      <c r="M26" s="37"/>
      <c r="N26" s="37"/>
      <c r="O26" s="37"/>
      <c r="P26" s="37"/>
      <c r="Q26" s="37"/>
      <c r="R26" s="24"/>
      <c r="S26" s="24"/>
    </row>
    <row r="27" spans="2:19" ht="12" customHeight="1" x14ac:dyDescent="0.35">
      <c r="B27" s="36"/>
      <c r="C27" s="36"/>
      <c r="D27" s="37">
        <v>11</v>
      </c>
      <c r="E27" s="37" t="str" cm="1">
        <f t="array" ref="E27">IF(D27&lt;=L3_RL!F$3,INDEX(Rankings!D$5:D$7,L3_RL!F$3+1-D27),"RL Platz "&amp;(L3_RL!F$3+D27))</f>
        <v>RL Platz 12</v>
      </c>
      <c r="F27" s="38" t="str" cm="1">
        <f t="array" ref="F27">IF(D27&lt;=L3_RL!$F$3,INDEX(Rankings!E$5:E$7,L3_RL!$F$3+1-D27),INDEX(L3_RL!E$27:E$42,L3_RL!$F$3+D27))</f>
        <v>TSV 1899 Blaustein</v>
      </c>
      <c r="G27" s="37"/>
      <c r="H27" s="24"/>
      <c r="I27" s="24"/>
      <c r="J27" s="29"/>
      <c r="K27" s="30"/>
      <c r="L27" s="37"/>
      <c r="M27" s="37"/>
      <c r="N27" s="37"/>
      <c r="O27" s="37"/>
      <c r="P27" s="37"/>
      <c r="Q27" s="37"/>
      <c r="R27" s="24"/>
      <c r="S27" s="24"/>
    </row>
    <row r="28" spans="2:19" ht="12" customHeight="1" x14ac:dyDescent="0.35">
      <c r="B28" s="36"/>
      <c r="C28" s="36"/>
      <c r="D28" s="37">
        <v>12</v>
      </c>
      <c r="E28" s="37" t="str" cm="1">
        <f t="array" ref="E28">IF(D28&lt;=L3_RL!F$3,INDEX(Rankings!D$5:D$7,L3_RL!F$3+1-D28),"RL Platz "&amp;(L3_RL!F$3+D28))</f>
        <v>RL Platz 13</v>
      </c>
      <c r="F28" s="38" t="str" cm="1">
        <f t="array" ref="F28">IF(D28&lt;=L3_RL!$F$3,INDEX(Rankings!E$5:E$7,L3_RL!$F$3+1-D28),INDEX(L3_RL!E$27:E$42,L3_RL!$F$3+D28))</f>
        <v>MTG Wangen</v>
      </c>
      <c r="G28" s="37"/>
      <c r="H28" s="24"/>
      <c r="I28" s="24"/>
      <c r="J28" s="29"/>
      <c r="K28" s="30"/>
      <c r="L28" s="37"/>
      <c r="M28" s="37"/>
      <c r="N28" s="37"/>
      <c r="O28" s="37"/>
      <c r="P28" s="37"/>
      <c r="Q28" s="37"/>
      <c r="R28" s="24"/>
      <c r="S28" s="24"/>
    </row>
    <row r="29" spans="2:19" ht="12" customHeight="1" x14ac:dyDescent="0.35">
      <c r="B29" s="36"/>
      <c r="C29" s="39" t="s">
        <v>0</v>
      </c>
      <c r="D29" s="40">
        <v>13</v>
      </c>
      <c r="E29" s="40" t="s">
        <v>555</v>
      </c>
      <c r="F29" s="39" t="str">
        <f>HVW!E3</f>
        <v>TV 1893 Neuhausen/E.</v>
      </c>
      <c r="G29" s="40"/>
      <c r="H29" s="24"/>
      <c r="I29" s="24"/>
      <c r="J29" s="29"/>
      <c r="K29" s="30"/>
      <c r="L29" s="37"/>
      <c r="M29" s="39" t="s">
        <v>0</v>
      </c>
      <c r="N29" s="40">
        <v>9</v>
      </c>
      <c r="O29" s="40" t="s">
        <v>555</v>
      </c>
      <c r="P29" s="39" t="str">
        <f>HVW!E174</f>
        <v>HSG Fridingen/Mühlheim</v>
      </c>
      <c r="Q29" s="40"/>
      <c r="R29" s="24"/>
      <c r="S29" s="24"/>
    </row>
    <row r="30" spans="2:19" ht="12" customHeight="1" x14ac:dyDescent="0.35">
      <c r="B30" s="36"/>
      <c r="C30" s="41">
        <v>2</v>
      </c>
      <c r="D30" s="40">
        <v>14</v>
      </c>
      <c r="E30" s="40" t="s">
        <v>556</v>
      </c>
      <c r="F30" s="39" t="str">
        <f>HVW!E4</f>
        <v>SG Weinstadt</v>
      </c>
      <c r="G30" s="40"/>
      <c r="H30" s="24"/>
      <c r="I30" s="24"/>
      <c r="J30" s="29"/>
      <c r="K30" s="30"/>
      <c r="L30" s="37"/>
      <c r="M30" s="41">
        <v>2</v>
      </c>
      <c r="N30" s="40">
        <v>10</v>
      </c>
      <c r="O30" s="40" t="s">
        <v>556</v>
      </c>
      <c r="P30" s="39" t="str">
        <f>HVW!E175</f>
        <v>SF Schwaikheim</v>
      </c>
      <c r="Q30" s="40"/>
      <c r="R30" s="24"/>
      <c r="S30" s="24"/>
    </row>
    <row r="31" spans="2:19" ht="12" customHeight="1" x14ac:dyDescent="0.35">
      <c r="B31" s="36"/>
      <c r="C31" s="42" t="s">
        <v>56</v>
      </c>
      <c r="D31" s="43">
        <v>15</v>
      </c>
      <c r="E31" s="43" t="s">
        <v>77</v>
      </c>
      <c r="F31" s="42" t="str">
        <f>BHV!E3</f>
        <v>SG Heddesheim</v>
      </c>
      <c r="G31" s="43"/>
      <c r="H31" s="24"/>
      <c r="I31" s="24"/>
      <c r="J31" s="29"/>
      <c r="K31" s="30"/>
      <c r="L31" s="37"/>
      <c r="M31" s="42" t="s">
        <v>56</v>
      </c>
      <c r="N31" s="43">
        <v>11</v>
      </c>
      <c r="O31" s="43" t="s">
        <v>77</v>
      </c>
      <c r="P31" s="42" t="str">
        <f>BHV!E58</f>
        <v>TSV Rintheim</v>
      </c>
      <c r="Q31" s="43"/>
      <c r="R31" s="24"/>
      <c r="S31" s="24"/>
    </row>
    <row r="32" spans="2:19" ht="12" customHeight="1" x14ac:dyDescent="0.35">
      <c r="B32" s="36"/>
      <c r="C32" s="27" t="s">
        <v>55</v>
      </c>
      <c r="D32" s="28">
        <v>16</v>
      </c>
      <c r="E32" s="28" t="s">
        <v>78</v>
      </c>
      <c r="F32" s="27" t="str">
        <f>SHV!E3</f>
        <v>TuS Steißlingen</v>
      </c>
      <c r="G32" s="28"/>
      <c r="H32" s="24"/>
      <c r="I32" s="24"/>
      <c r="J32" s="29"/>
      <c r="K32" s="30"/>
      <c r="L32" s="37"/>
      <c r="M32" s="27" t="s">
        <v>55</v>
      </c>
      <c r="N32" s="28">
        <v>12</v>
      </c>
      <c r="O32" s="28" t="s">
        <v>78</v>
      </c>
      <c r="P32" s="27" t="str">
        <f>SHV!E51</f>
        <v>HSG Freiburg 2</v>
      </c>
      <c r="Q32" s="28"/>
      <c r="R32" s="24"/>
      <c r="S32" s="24"/>
    </row>
    <row r="33" spans="2:19" ht="5" customHeight="1" x14ac:dyDescent="0.35">
      <c r="B33" s="24"/>
      <c r="C33" s="24"/>
      <c r="D33" s="23"/>
      <c r="E33" s="24"/>
      <c r="F33" s="24"/>
      <c r="G33" s="24"/>
      <c r="H33" s="24"/>
      <c r="I33" s="24"/>
      <c r="J33" s="29"/>
      <c r="K33" s="30"/>
      <c r="L33" s="24"/>
      <c r="M33" s="24"/>
      <c r="N33" s="24"/>
      <c r="O33" s="24"/>
      <c r="P33" s="24"/>
      <c r="Q33" s="24"/>
      <c r="R33" s="24"/>
      <c r="S33" s="24"/>
    </row>
    <row r="34" spans="2:19" ht="5" customHeight="1" x14ac:dyDescent="0.35">
      <c r="B34" s="47"/>
      <c r="C34" s="47"/>
      <c r="D34" s="89"/>
      <c r="E34" s="47"/>
      <c r="F34" s="47"/>
      <c r="G34" s="47"/>
      <c r="H34" s="47"/>
      <c r="I34" s="47"/>
      <c r="J34" s="93"/>
      <c r="K34" s="94"/>
      <c r="L34" s="47"/>
      <c r="M34" s="47"/>
      <c r="N34" s="47"/>
      <c r="O34" s="47"/>
      <c r="P34" s="47"/>
      <c r="Q34" s="47"/>
      <c r="R34" s="47"/>
      <c r="S34" s="47"/>
    </row>
    <row r="35" spans="2:19" ht="12" customHeight="1" x14ac:dyDescent="0.35">
      <c r="B35" s="92" t="s">
        <v>70</v>
      </c>
      <c r="C35" s="39" t="s">
        <v>0</v>
      </c>
      <c r="D35" s="49">
        <v>1</v>
      </c>
      <c r="E35" s="40" t="str">
        <f>Rankings!D41</f>
        <v>Absteiger RL 1</v>
      </c>
      <c r="F35" s="39" t="str">
        <f>Rankings!E41</f>
        <v>TSG Söflingen</v>
      </c>
      <c r="G35" s="40"/>
      <c r="H35" s="24"/>
      <c r="I35" s="24"/>
      <c r="J35" s="29"/>
      <c r="K35" s="30"/>
      <c r="L35" s="92" t="s">
        <v>70</v>
      </c>
      <c r="M35" s="50" t="s">
        <v>548</v>
      </c>
      <c r="N35" s="51"/>
      <c r="O35" s="51" t="str">
        <f>"RL BW Platz "&amp;Rankings!C326</f>
        <v>RL BW Platz 9</v>
      </c>
      <c r="P35" s="51" t="str">
        <f>Rankings!E326</f>
        <v>SG H2Ku Herrenberg (HVW)</v>
      </c>
      <c r="Q35" s="51"/>
      <c r="R35" s="24" t="str">
        <f>"für "&amp;P14&amp;" oder "&amp;P15</f>
        <v>für TuS Schutterwald oder HC Schmiden/Oeffingen</v>
      </c>
      <c r="S35" s="24"/>
    </row>
    <row r="36" spans="2:19" ht="12" customHeight="1" x14ac:dyDescent="0.35">
      <c r="B36" s="48"/>
      <c r="C36" s="41">
        <v>14</v>
      </c>
      <c r="D36" s="49">
        <f>1+D35</f>
        <v>2</v>
      </c>
      <c r="E36" s="40" t="str">
        <f>Rankings!D42</f>
        <v>OLW Platz 3</v>
      </c>
      <c r="F36" s="39" t="str">
        <f>Rankings!E42</f>
        <v>TSV Schmiden 1902</v>
      </c>
      <c r="G36" s="40"/>
      <c r="H36" s="24"/>
      <c r="I36" s="24"/>
      <c r="J36" s="29"/>
      <c r="K36" s="30"/>
      <c r="L36" s="48"/>
      <c r="M36" s="50" t="s">
        <v>548</v>
      </c>
      <c r="N36" s="51"/>
      <c r="O36" s="51" t="str">
        <f>"RL BW Platz "&amp;Rankings!C327</f>
        <v>RL BW Platz 8</v>
      </c>
      <c r="P36" s="51" t="str">
        <f>Rankings!E327</f>
        <v>HG Oftersheim/Schwetzingen (BHV)</v>
      </c>
      <c r="Q36" s="51"/>
      <c r="R36" s="24" t="str">
        <f>"für "&amp;P14&amp;" und "&amp;P15</f>
        <v>für TuS Schutterwald und HC Schmiden/Oeffingen</v>
      </c>
      <c r="S36" s="24"/>
    </row>
    <row r="37" spans="2:19" ht="12" customHeight="1" x14ac:dyDescent="0.35">
      <c r="B37" s="48"/>
      <c r="C37" s="40"/>
      <c r="D37" s="49">
        <f t="shared" ref="D37:D48" si="0">1+D36</f>
        <v>3</v>
      </c>
      <c r="E37" s="40" t="str">
        <f>Rankings!D43</f>
        <v>OLW Platz 4</v>
      </c>
      <c r="F37" s="39" t="str">
        <f>Rankings!E43</f>
        <v>SG BBM Bietigheim 2</v>
      </c>
      <c r="G37" s="40"/>
      <c r="H37" s="24"/>
      <c r="I37" s="24"/>
      <c r="J37" s="29"/>
      <c r="K37" s="30"/>
      <c r="L37" s="48"/>
      <c r="M37" s="39" t="s">
        <v>0</v>
      </c>
      <c r="N37" s="49">
        <v>1</v>
      </c>
      <c r="O37" s="40" t="str">
        <f>Rankings!D344</f>
        <v>Absteiger RL 3</v>
      </c>
      <c r="P37" s="39" t="str">
        <f>Rankings!E344</f>
        <v>TSV Heiningen 1892</v>
      </c>
      <c r="Q37" s="40"/>
      <c r="R37" s="24"/>
      <c r="S37" s="24"/>
    </row>
    <row r="38" spans="2:19" ht="12" customHeight="1" x14ac:dyDescent="0.35">
      <c r="B38" s="48"/>
      <c r="C38" s="40"/>
      <c r="D38" s="49">
        <f t="shared" si="0"/>
        <v>4</v>
      </c>
      <c r="E38" s="40" t="str">
        <f>Rankings!D44</f>
        <v>OLW Platz 5</v>
      </c>
      <c r="F38" s="39" t="str">
        <f>Rankings!E44</f>
        <v>TV 1895 Flein</v>
      </c>
      <c r="G38" s="40"/>
      <c r="H38" s="24"/>
      <c r="I38" s="24"/>
      <c r="J38" s="29"/>
      <c r="K38" s="30"/>
      <c r="L38" s="48"/>
      <c r="M38" s="41">
        <v>12</v>
      </c>
      <c r="N38" s="49">
        <f>1+N37</f>
        <v>2</v>
      </c>
      <c r="O38" s="40" t="str">
        <f>Rankings!D345</f>
        <v>Absteiger RL 2</v>
      </c>
      <c r="P38" s="39" t="str">
        <f>Rankings!E345</f>
        <v>TV 1895 Flein</v>
      </c>
      <c r="Q38" s="40"/>
      <c r="R38" s="24"/>
      <c r="S38" s="24"/>
    </row>
    <row r="39" spans="2:19" ht="12" customHeight="1" x14ac:dyDescent="0.35">
      <c r="B39" s="48"/>
      <c r="C39" s="40"/>
      <c r="D39" s="49">
        <f t="shared" si="0"/>
        <v>5</v>
      </c>
      <c r="E39" s="40" t="str">
        <f>Rankings!D45</f>
        <v>OLW Platz 6</v>
      </c>
      <c r="F39" s="39" t="str">
        <f>Rankings!E45</f>
        <v>SV Leonberg/Eltingen</v>
      </c>
      <c r="G39" s="40"/>
      <c r="H39" s="24"/>
      <c r="I39" s="24"/>
      <c r="J39" s="29"/>
      <c r="K39" s="30"/>
      <c r="L39" s="48"/>
      <c r="M39" s="40"/>
      <c r="N39" s="49">
        <f>1+N38</f>
        <v>3</v>
      </c>
      <c r="O39" s="40" t="str">
        <f>Rankings!D346</f>
        <v>Absteiger RL 1</v>
      </c>
      <c r="P39" s="39" t="str">
        <f>Rankings!E346</f>
        <v>SV Hohenacker-Neustadt</v>
      </c>
      <c r="Q39" s="40"/>
      <c r="R39" s="24"/>
      <c r="S39" s="24"/>
    </row>
    <row r="40" spans="2:19" ht="12" customHeight="1" x14ac:dyDescent="0.35">
      <c r="B40" s="48"/>
      <c r="C40" s="40"/>
      <c r="D40" s="49">
        <f t="shared" si="0"/>
        <v>6</v>
      </c>
      <c r="E40" s="40" t="str">
        <f>Rankings!D46</f>
        <v>OLW Platz 7</v>
      </c>
      <c r="F40" s="39" t="str">
        <f>Rankings!E46</f>
        <v>TSV Wolfschlugen</v>
      </c>
      <c r="G40" s="40"/>
      <c r="H40" s="24"/>
      <c r="I40" s="24"/>
      <c r="J40" s="29"/>
      <c r="K40" s="30"/>
      <c r="L40" s="48"/>
      <c r="M40" s="40"/>
      <c r="N40" s="49">
        <f>1+N39</f>
        <v>4</v>
      </c>
      <c r="O40" s="40" t="str">
        <f>Rankings!D347</f>
        <v>OLW Platz 3</v>
      </c>
      <c r="P40" s="39" t="str">
        <f>Rankings!E347</f>
        <v>TSV Köngen</v>
      </c>
      <c r="Q40" s="40"/>
      <c r="R40" s="24"/>
      <c r="S40" s="24"/>
    </row>
    <row r="41" spans="2:19" ht="12" customHeight="1" x14ac:dyDescent="0.35">
      <c r="B41" s="48"/>
      <c r="C41" s="40"/>
      <c r="D41" s="49">
        <f t="shared" si="0"/>
        <v>7</v>
      </c>
      <c r="E41" s="40" t="str">
        <f>Rankings!D47</f>
        <v>OLW Platz 8</v>
      </c>
      <c r="F41" s="39" t="str">
        <f>Rankings!E47</f>
        <v>SG Schozach-Bottwartal</v>
      </c>
      <c r="G41" s="40"/>
      <c r="H41" s="24"/>
      <c r="I41" s="24"/>
      <c r="J41" s="29"/>
      <c r="K41" s="30"/>
      <c r="L41" s="48"/>
      <c r="M41" s="40"/>
      <c r="N41" s="49">
        <f>1+N40</f>
        <v>5</v>
      </c>
      <c r="O41" s="40" t="str">
        <f>Rankings!D348</f>
        <v>OLW Platz 4</v>
      </c>
      <c r="P41" s="39" t="str">
        <f>Rankings!E348</f>
        <v>SV Salamander Kornwestheim 1894</v>
      </c>
      <c r="Q41" s="40"/>
      <c r="R41" s="24"/>
      <c r="S41" s="24"/>
    </row>
    <row r="42" spans="2:19" ht="12" customHeight="1" x14ac:dyDescent="0.35">
      <c r="B42" s="48"/>
      <c r="C42" s="40"/>
      <c r="D42" s="49">
        <f t="shared" si="0"/>
        <v>8</v>
      </c>
      <c r="E42" s="40" t="str">
        <f>Rankings!D48</f>
        <v>OLW Platz 9</v>
      </c>
      <c r="F42" s="39" t="str">
        <f>Rankings!E48</f>
        <v>SG H2Ku Herrenberg</v>
      </c>
      <c r="G42" s="40"/>
      <c r="H42" s="24"/>
      <c r="I42" s="24"/>
      <c r="J42" s="29"/>
      <c r="K42" s="30"/>
      <c r="L42" s="48"/>
      <c r="M42" s="40"/>
      <c r="N42" s="49">
        <f t="shared" ref="N42:N48" si="1">1+N41</f>
        <v>6</v>
      </c>
      <c r="O42" s="40" t="str">
        <f>Rankings!D349</f>
        <v>OLW Platz 5</v>
      </c>
      <c r="P42" s="39" t="str">
        <f>Rankings!E349</f>
        <v>HSG Böblingen/Sindelfingen</v>
      </c>
      <c r="Q42" s="40"/>
      <c r="R42" s="24"/>
      <c r="S42" s="24"/>
    </row>
    <row r="43" spans="2:19" ht="12" customHeight="1" x14ac:dyDescent="0.35">
      <c r="B43" s="48"/>
      <c r="C43" s="40"/>
      <c r="D43" s="49">
        <f t="shared" si="0"/>
        <v>9</v>
      </c>
      <c r="E43" s="40" t="str">
        <f>Rankings!D49</f>
        <v>OLW Platz 10</v>
      </c>
      <c r="F43" s="39" t="str">
        <f>Rankings!E49</f>
        <v>HSG Langenau/Elchingen</v>
      </c>
      <c r="G43" s="40"/>
      <c r="H43" s="24"/>
      <c r="I43" s="24"/>
      <c r="J43" s="29"/>
      <c r="K43" s="30"/>
      <c r="L43" s="48"/>
      <c r="M43" s="40"/>
      <c r="N43" s="49">
        <f t="shared" si="1"/>
        <v>7</v>
      </c>
      <c r="O43" s="40" t="str">
        <f>Rankings!D350</f>
        <v>OLW Platz 6</v>
      </c>
      <c r="P43" s="39" t="str">
        <f>Rankings!E350</f>
        <v>SG BBM Bietigheim</v>
      </c>
      <c r="Q43" s="40"/>
      <c r="R43" s="24"/>
      <c r="S43" s="24"/>
    </row>
    <row r="44" spans="2:19" ht="12" customHeight="1" x14ac:dyDescent="0.35">
      <c r="B44" s="48"/>
      <c r="C44" s="40"/>
      <c r="D44" s="49">
        <f t="shared" si="0"/>
        <v>10</v>
      </c>
      <c r="E44" s="40" t="str">
        <f>Rankings!D50</f>
        <v>OLW Platz 11</v>
      </c>
      <c r="F44" s="39" t="str">
        <f>Rankings!E50</f>
        <v>TV Weilstetten</v>
      </c>
      <c r="G44" s="40"/>
      <c r="H44" s="24"/>
      <c r="I44" s="24"/>
      <c r="J44" s="29"/>
      <c r="K44" s="30"/>
      <c r="L44" s="48"/>
      <c r="M44" s="40"/>
      <c r="N44" s="49">
        <f t="shared" si="1"/>
        <v>8</v>
      </c>
      <c r="O44" s="40" t="str">
        <f>Rankings!D351</f>
        <v>OLW Platz 7</v>
      </c>
      <c r="P44" s="39" t="str">
        <f>Rankings!E351</f>
        <v>TSV Denkendorf</v>
      </c>
      <c r="Q44" s="40"/>
      <c r="R44" s="24"/>
      <c r="S44" s="24"/>
    </row>
    <row r="45" spans="2:19" ht="12" customHeight="1" x14ac:dyDescent="0.35">
      <c r="B45" s="48"/>
      <c r="C45" s="40"/>
      <c r="D45" s="49">
        <f t="shared" si="0"/>
        <v>11</v>
      </c>
      <c r="E45" s="40" t="str">
        <f>Rankings!D51</f>
        <v>OLW Platz 12</v>
      </c>
      <c r="F45" s="39" t="str">
        <f>Rankings!E51</f>
        <v>SG Lauterstein</v>
      </c>
      <c r="G45" s="40"/>
      <c r="H45" s="24"/>
      <c r="I45" s="24"/>
      <c r="J45" s="29"/>
      <c r="K45" s="30"/>
      <c r="L45" s="48"/>
      <c r="M45" s="40"/>
      <c r="N45" s="49">
        <f t="shared" si="1"/>
        <v>9</v>
      </c>
      <c r="O45" s="40" t="str">
        <f>Rankings!D352</f>
        <v>OLW Platz 8</v>
      </c>
      <c r="P45" s="39" t="str">
        <f>Rankings!E352</f>
        <v>VfL Waiblingen Handball 2</v>
      </c>
      <c r="Q45" s="40"/>
      <c r="R45" s="24"/>
      <c r="S45" s="24"/>
    </row>
    <row r="46" spans="2:19" ht="12" customHeight="1" x14ac:dyDescent="0.35">
      <c r="B46" s="48"/>
      <c r="C46" s="40"/>
      <c r="D46" s="49">
        <f t="shared" si="0"/>
        <v>12</v>
      </c>
      <c r="E46" s="40" t="str">
        <f>Rankings!D52</f>
        <v>VL Platz 1 Rang 1</v>
      </c>
      <c r="F46" s="39" t="str">
        <f>Rankings!E52</f>
        <v>SKV Unterensingen</v>
      </c>
      <c r="G46" s="40"/>
      <c r="H46" s="24"/>
      <c r="I46" s="24"/>
      <c r="J46" s="29"/>
      <c r="K46" s="30"/>
      <c r="L46" s="48"/>
      <c r="M46" s="40"/>
      <c r="N46" s="49">
        <f t="shared" si="1"/>
        <v>10</v>
      </c>
      <c r="O46" s="40" t="str">
        <f>Rankings!D353</f>
        <v>VL Platz 1 Rang 1</v>
      </c>
      <c r="P46" s="39" t="str">
        <f>Rankings!E353</f>
        <v>SG Weinstadt</v>
      </c>
      <c r="Q46" s="40"/>
      <c r="R46" s="24"/>
      <c r="S46" s="24"/>
    </row>
    <row r="47" spans="2:19" ht="12" customHeight="1" x14ac:dyDescent="0.35">
      <c r="B47" s="48"/>
      <c r="C47" s="40"/>
      <c r="D47" s="49">
        <f t="shared" si="0"/>
        <v>13</v>
      </c>
      <c r="E47" s="40" t="str">
        <f>Rankings!D53</f>
        <v>VL Platz 1 Rang 2</v>
      </c>
      <c r="F47" s="39" t="str">
        <f>Rankings!E53</f>
        <v>TSV Bönnigheim</v>
      </c>
      <c r="G47" s="40"/>
      <c r="H47" s="24"/>
      <c r="I47" s="24"/>
      <c r="J47" s="29"/>
      <c r="K47" s="30"/>
      <c r="L47" s="48"/>
      <c r="M47" s="40"/>
      <c r="N47" s="49">
        <f t="shared" si="1"/>
        <v>11</v>
      </c>
      <c r="O47" s="40" t="str">
        <f>Rankings!D354</f>
        <v>VL Platz 1 Rang 2</v>
      </c>
      <c r="P47" s="39" t="str">
        <f>Rankings!E354</f>
        <v>HSG Bargau/Bettringen</v>
      </c>
      <c r="Q47" s="40"/>
      <c r="R47" s="24"/>
      <c r="S47" s="24"/>
    </row>
    <row r="48" spans="2:19" ht="12" customHeight="1" x14ac:dyDescent="0.35">
      <c r="B48" s="48"/>
      <c r="C48" s="40"/>
      <c r="D48" s="49">
        <f t="shared" si="0"/>
        <v>14</v>
      </c>
      <c r="E48" s="40" t="str">
        <f>Rankings!D54</f>
        <v>VL Platz 2 Rang 1</v>
      </c>
      <c r="F48" s="39" t="str">
        <f>Rankings!E54</f>
        <v>SG Hegensberg-Liebersbronn</v>
      </c>
      <c r="G48" s="40"/>
      <c r="H48" s="24"/>
      <c r="I48" s="24"/>
      <c r="J48" s="29"/>
      <c r="K48" s="30"/>
      <c r="L48" s="48"/>
      <c r="M48" s="40"/>
      <c r="N48" s="49">
        <f t="shared" si="1"/>
        <v>12</v>
      </c>
      <c r="O48" s="40" t="str">
        <f>Rankings!D355</f>
        <v>VL Platz 2 Rang 1</v>
      </c>
      <c r="P48" s="39" t="str">
        <f>Rankings!E355</f>
        <v>SV Leonberg/Eltingen</v>
      </c>
      <c r="Q48" s="40"/>
      <c r="R48" s="24"/>
      <c r="S48" s="24"/>
    </row>
    <row r="49" spans="2:19" ht="12" customHeight="1" x14ac:dyDescent="0.35">
      <c r="B49" s="48"/>
      <c r="C49" s="42" t="s">
        <v>56</v>
      </c>
      <c r="D49" s="52">
        <v>1</v>
      </c>
      <c r="E49" s="43" t="str">
        <f>Rankings!D168</f>
        <v>Absteiger RL 1</v>
      </c>
      <c r="F49" s="42" t="str">
        <f>Rankings!E168</f>
        <v>Saase3 Leutershausen Handball 2</v>
      </c>
      <c r="G49" s="43"/>
      <c r="H49" s="24"/>
      <c r="I49" s="24"/>
      <c r="J49" s="29"/>
      <c r="K49" s="30"/>
      <c r="L49" s="48"/>
      <c r="M49" s="42" t="s">
        <v>56</v>
      </c>
      <c r="N49" s="52">
        <v>1</v>
      </c>
      <c r="O49" s="43" t="str">
        <f>Rankings!D471</f>
        <v>Absteiger RL 1</v>
      </c>
      <c r="P49" s="42" t="str">
        <f>Rankings!E471</f>
        <v>TG 88 Pforzheim</v>
      </c>
      <c r="Q49" s="43"/>
      <c r="R49" s="24"/>
      <c r="S49" s="24"/>
    </row>
    <row r="50" spans="2:19" ht="12" customHeight="1" x14ac:dyDescent="0.35">
      <c r="B50" s="48"/>
      <c r="C50" s="53">
        <v>5</v>
      </c>
      <c r="D50" s="52">
        <v>2</v>
      </c>
      <c r="E50" s="43" t="str">
        <f>Rankings!D169</f>
        <v>OL Platz 2</v>
      </c>
      <c r="F50" s="42" t="str">
        <f>Rankings!E169</f>
        <v>SG Pforzheim/Eutingen 2</v>
      </c>
      <c r="G50" s="43"/>
      <c r="H50" s="24"/>
      <c r="I50" s="24"/>
      <c r="J50" s="29"/>
      <c r="K50" s="30"/>
      <c r="L50" s="48"/>
      <c r="M50" s="53">
        <v>4</v>
      </c>
      <c r="N50" s="52">
        <v>2</v>
      </c>
      <c r="O50" s="43" t="str">
        <f>Rankings!D472</f>
        <v>OL Platz 2</v>
      </c>
      <c r="P50" s="42" t="str">
        <f>Rankings!E472</f>
        <v>HSG Walzbachtal</v>
      </c>
      <c r="Q50" s="43"/>
      <c r="R50" s="24"/>
      <c r="S50" s="24"/>
    </row>
    <row r="51" spans="2:19" ht="12" customHeight="1" x14ac:dyDescent="0.35">
      <c r="B51" s="48"/>
      <c r="C51" s="43"/>
      <c r="D51" s="52">
        <v>3</v>
      </c>
      <c r="E51" s="43" t="str">
        <f>Rankings!D170</f>
        <v>OL Platz 3</v>
      </c>
      <c r="F51" s="42" t="str">
        <f>Rankings!E170</f>
        <v>SG Heidelsheim/Helmsheim</v>
      </c>
      <c r="G51" s="43"/>
      <c r="H51" s="24"/>
      <c r="I51" s="24"/>
      <c r="J51" s="29"/>
      <c r="K51" s="30"/>
      <c r="L51" s="48"/>
      <c r="M51" s="43"/>
      <c r="N51" s="52">
        <v>3</v>
      </c>
      <c r="O51" s="43" t="str">
        <f>Rankings!D473</f>
        <v>OL Platz 3</v>
      </c>
      <c r="P51" s="42" t="str">
        <f>Rankings!E473</f>
        <v>TSV Birkenau</v>
      </c>
      <c r="Q51" s="43"/>
      <c r="R51" s="24"/>
      <c r="S51" s="24"/>
    </row>
    <row r="52" spans="2:19" ht="12" customHeight="1" x14ac:dyDescent="0.35">
      <c r="B52" s="48"/>
      <c r="C52" s="43"/>
      <c r="D52" s="52">
        <v>4</v>
      </c>
      <c r="E52" s="43" t="str">
        <f>Rankings!D171</f>
        <v>OL Platz 4</v>
      </c>
      <c r="F52" s="42" t="str">
        <f>Rankings!E171</f>
        <v>HSG Ettlingen</v>
      </c>
      <c r="G52" s="43"/>
      <c r="H52" s="24"/>
      <c r="I52" s="24"/>
      <c r="J52" s="29"/>
      <c r="K52" s="30"/>
      <c r="L52" s="48"/>
      <c r="M52" s="43"/>
      <c r="N52" s="52">
        <v>4</v>
      </c>
      <c r="O52" s="43" t="str">
        <f>Rankings!D474</f>
        <v>OL Platz 4</v>
      </c>
      <c r="P52" s="42" t="str">
        <f>Rankings!E474</f>
        <v>SG Heddesheim</v>
      </c>
      <c r="Q52" s="43"/>
      <c r="R52" s="24"/>
      <c r="S52" s="24"/>
    </row>
    <row r="53" spans="2:19" ht="12" customHeight="1" x14ac:dyDescent="0.35">
      <c r="B53" s="48"/>
      <c r="C53" s="43"/>
      <c r="D53" s="52">
        <v>5</v>
      </c>
      <c r="E53" s="43" t="str">
        <f>Rankings!D172</f>
        <v>OL Platz 5</v>
      </c>
      <c r="F53" s="42" t="str">
        <f>Rankings!E172</f>
        <v>TSV Amicitia 06/09 Viernheim</v>
      </c>
      <c r="G53" s="43"/>
      <c r="H53" s="24"/>
      <c r="I53" s="24"/>
      <c r="J53" s="29"/>
      <c r="K53" s="30"/>
      <c r="L53" s="48"/>
      <c r="M53" s="43"/>
      <c r="N53" s="52"/>
      <c r="O53" s="43"/>
      <c r="P53" s="43"/>
      <c r="Q53" s="43"/>
      <c r="R53" s="24"/>
      <c r="S53" s="24"/>
    </row>
    <row r="54" spans="2:19" ht="12" customHeight="1" x14ac:dyDescent="0.35">
      <c r="B54" s="48"/>
      <c r="C54" s="27" t="s">
        <v>55</v>
      </c>
      <c r="D54" s="54">
        <v>1</v>
      </c>
      <c r="E54" s="28" t="str">
        <f>Rankings!D225</f>
        <v>Absteiger RL 1</v>
      </c>
      <c r="F54" s="27" t="str">
        <f>Rankings!E225</f>
        <v>TuS Schutterwald</v>
      </c>
      <c r="G54" s="28"/>
      <c r="H54" s="24"/>
      <c r="I54" s="24"/>
      <c r="J54" s="29"/>
      <c r="K54" s="30"/>
      <c r="L54" s="48"/>
      <c r="M54" s="27" t="s">
        <v>55</v>
      </c>
      <c r="N54" s="54">
        <v>1</v>
      </c>
      <c r="O54" s="28" t="str">
        <f>Rankings!D526</f>
        <v>OL Platz 2</v>
      </c>
      <c r="P54" s="27" t="str">
        <f>Rankings!E526</f>
        <v>TuS Ottenheim</v>
      </c>
      <c r="Q54" s="28"/>
      <c r="R54" s="24"/>
      <c r="S54" s="24"/>
    </row>
    <row r="55" spans="2:19" ht="12" customHeight="1" x14ac:dyDescent="0.35">
      <c r="B55" s="48"/>
      <c r="C55" s="55">
        <v>5</v>
      </c>
      <c r="D55" s="54">
        <v>2</v>
      </c>
      <c r="E55" s="28" t="str">
        <f>Rankings!D226</f>
        <v>OL Platz 2</v>
      </c>
      <c r="F55" s="27" t="str">
        <f>Rankings!E226</f>
        <v>HSG Konstanz 2</v>
      </c>
      <c r="G55" s="28"/>
      <c r="H55" s="24"/>
      <c r="I55" s="24"/>
      <c r="J55" s="29"/>
      <c r="K55" s="30"/>
      <c r="L55" s="48"/>
      <c r="M55" s="55">
        <v>4</v>
      </c>
      <c r="N55" s="54">
        <v>2</v>
      </c>
      <c r="O55" s="28" t="str">
        <f>Rankings!D527</f>
        <v>OL Platz 3</v>
      </c>
      <c r="P55" s="27" t="str">
        <f>Rankings!E527</f>
        <v>SG Dornstetten</v>
      </c>
      <c r="Q55" s="28"/>
      <c r="R55" s="24"/>
      <c r="S55" s="24"/>
    </row>
    <row r="56" spans="2:19" ht="12" customHeight="1" x14ac:dyDescent="0.35">
      <c r="B56" s="48"/>
      <c r="C56" s="28"/>
      <c r="D56" s="54">
        <v>3</v>
      </c>
      <c r="E56" s="28" t="str">
        <f>Rankings!D227</f>
        <v>OL Platz 3</v>
      </c>
      <c r="F56" s="27" t="str">
        <f>Rankings!E227</f>
        <v>HTV Meißenheim</v>
      </c>
      <c r="G56" s="28"/>
      <c r="H56" s="24"/>
      <c r="I56" s="24"/>
      <c r="J56" s="29"/>
      <c r="K56" s="30"/>
      <c r="L56" s="48"/>
      <c r="M56" s="28"/>
      <c r="N56" s="54">
        <v>3</v>
      </c>
      <c r="O56" s="28" t="str">
        <f>Rankings!D528</f>
        <v>OL Platz 4</v>
      </c>
      <c r="P56" s="27" t="str">
        <f>Rankings!E528</f>
        <v>HB Kinzigtal</v>
      </c>
      <c r="Q56" s="28"/>
      <c r="R56" s="24"/>
      <c r="S56" s="24"/>
    </row>
    <row r="57" spans="2:19" ht="12" customHeight="1" x14ac:dyDescent="0.35">
      <c r="B57" s="48"/>
      <c r="C57" s="28"/>
      <c r="D57" s="54">
        <v>4</v>
      </c>
      <c r="E57" s="28" t="str">
        <f>Rankings!D228</f>
        <v>OL Platz 4</v>
      </c>
      <c r="F57" s="27" t="str">
        <f>Rankings!E228</f>
        <v>TV Ehingen</v>
      </c>
      <c r="G57" s="28"/>
      <c r="H57" s="24"/>
      <c r="I57" s="24"/>
      <c r="J57" s="29"/>
      <c r="K57" s="30"/>
      <c r="L57" s="48"/>
      <c r="M57" s="28"/>
      <c r="N57" s="54">
        <v>4</v>
      </c>
      <c r="O57" s="28" t="str">
        <f>Rankings!D529</f>
        <v>OL Platz 5</v>
      </c>
      <c r="P57" s="27" t="str">
        <f>Rankings!E529</f>
        <v>SG Muggensturm/Kuppenheim</v>
      </c>
      <c r="Q57" s="28"/>
      <c r="R57" s="24"/>
      <c r="S57" s="24"/>
    </row>
    <row r="58" spans="2:19" ht="12" customHeight="1" x14ac:dyDescent="0.35">
      <c r="B58" s="48"/>
      <c r="C58" s="56"/>
      <c r="D58" s="57">
        <v>5</v>
      </c>
      <c r="E58" s="56" t="str">
        <f>Rankings!D229</f>
        <v>OL Platz 5</v>
      </c>
      <c r="F58" s="77" t="str">
        <f>Rankings!E229</f>
        <v>SG Kenzingen/Herbolzheim</v>
      </c>
      <c r="G58" s="56"/>
      <c r="H58" s="58"/>
      <c r="I58" s="58"/>
      <c r="J58" s="29"/>
      <c r="K58" s="30"/>
      <c r="L58" s="48"/>
      <c r="M58" s="56"/>
      <c r="N58" s="57"/>
      <c r="O58" s="56"/>
      <c r="P58" s="56"/>
      <c r="Q58" s="56"/>
      <c r="R58" s="58"/>
      <c r="S58" s="58"/>
    </row>
    <row r="59" spans="2:19" ht="12" customHeight="1" x14ac:dyDescent="0.35">
      <c r="B59" s="48"/>
      <c r="C59" s="59" t="s">
        <v>405</v>
      </c>
      <c r="D59" s="60" t="s">
        <v>275</v>
      </c>
      <c r="E59" s="61" t="str">
        <f>Rankings!B231&amp;" "&amp;Rankings!D231</f>
        <v>7 OL Platz 7</v>
      </c>
      <c r="F59" s="104" t="str">
        <f>Rankings!E231</f>
        <v>BSV Phönix Sinzheim</v>
      </c>
      <c r="G59" s="62" t="s">
        <v>274</v>
      </c>
      <c r="H59" s="46" t="str">
        <f>Rankings!B55&amp;" "&amp;Rankings!D55</f>
        <v>15 VL Platz 2 Rang 2</v>
      </c>
      <c r="I59" s="44" t="str">
        <f>Rankings!E55</f>
        <v>TSV Altensteig</v>
      </c>
      <c r="J59" s="29"/>
      <c r="K59" s="30"/>
      <c r="L59" s="48"/>
      <c r="M59" s="59" t="s">
        <v>405</v>
      </c>
      <c r="N59" s="60" t="s">
        <v>275</v>
      </c>
      <c r="O59" s="63" t="str">
        <f>Rankings!B476&amp;" "&amp;Rankings!D476</f>
        <v>6 OL Platz 6</v>
      </c>
      <c r="P59" s="108" t="str">
        <f>Rankings!E476</f>
        <v>TSG Wiesloch</v>
      </c>
      <c r="Q59" s="62" t="s">
        <v>274</v>
      </c>
      <c r="R59" s="46" t="str">
        <f>Rankings!B356&amp;" "&amp;Rankings!D356</f>
        <v>13 VL Platz 2 Rang 2</v>
      </c>
      <c r="S59" s="44" t="str">
        <f>Rankings!E356</f>
        <v>VfL Pfullingen</v>
      </c>
    </row>
    <row r="60" spans="2:19" ht="12" customHeight="1" x14ac:dyDescent="0.35">
      <c r="B60" s="48"/>
      <c r="C60" s="48" t="s">
        <v>406</v>
      </c>
      <c r="D60" s="64" t="s">
        <v>275</v>
      </c>
      <c r="E60" s="43" t="str">
        <f>Rankings!B174&amp;" "&amp;Rankings!D174</f>
        <v>7 OL Platz 7</v>
      </c>
      <c r="F60" s="42" t="str">
        <f>Rankings!E174</f>
        <v>Handball Wölfe Plankstadt e.V.</v>
      </c>
      <c r="G60" s="65" t="s">
        <v>274</v>
      </c>
      <c r="H60" s="40" t="str">
        <f>Rankings!B56&amp;" "&amp;Rankings!D56</f>
        <v>16 VL Platz 3 Rang 1</v>
      </c>
      <c r="I60" s="39" t="str">
        <f>Rankings!E56</f>
        <v>Handballregion Bottwar SG</v>
      </c>
      <c r="J60" s="29"/>
      <c r="K60" s="30"/>
      <c r="L60" s="48"/>
      <c r="M60" s="48" t="s">
        <v>406</v>
      </c>
      <c r="N60" s="64" t="s">
        <v>275</v>
      </c>
      <c r="O60" s="28" t="str">
        <f>Rankings!B531&amp;" "&amp;Rankings!D531</f>
        <v>6 OL Platz 7</v>
      </c>
      <c r="P60" s="27" t="str">
        <f>Rankings!E531</f>
        <v>SG Maulburg/Steinen</v>
      </c>
      <c r="Q60" s="65" t="s">
        <v>274</v>
      </c>
      <c r="R60" s="40" t="str">
        <f>Rankings!B357&amp;" "&amp;Rankings!D357</f>
        <v>14 VL Platz 3 Rang 1</v>
      </c>
      <c r="S60" s="39" t="str">
        <f>Rankings!E357</f>
        <v>SG Herbrechtingen-Bolheim</v>
      </c>
    </row>
    <row r="61" spans="2:19" ht="12" customHeight="1" x14ac:dyDescent="0.35">
      <c r="B61" s="48"/>
      <c r="C61" s="64">
        <v>4</v>
      </c>
      <c r="D61" s="64" t="s">
        <v>275</v>
      </c>
      <c r="E61" s="40" t="str">
        <f>Rankings!B57&amp;" "&amp;Rankings!D57</f>
        <v>17 VL Platz 3 Rang 2</v>
      </c>
      <c r="F61" s="39" t="str">
        <f>Rankings!E57</f>
        <v>TV Reichenbach</v>
      </c>
      <c r="G61" s="65" t="s">
        <v>274</v>
      </c>
      <c r="H61" s="66" t="str">
        <f>Rankings!B173&amp;" "&amp;Rankings!D173</f>
        <v>6 OL Platz 6</v>
      </c>
      <c r="I61" s="111" t="str">
        <f>Rankings!E173</f>
        <v>TV Hardheim 1895</v>
      </c>
      <c r="J61" s="29"/>
      <c r="K61" s="30"/>
      <c r="L61" s="48"/>
      <c r="M61" s="64">
        <v>4</v>
      </c>
      <c r="N61" s="64" t="s">
        <v>275</v>
      </c>
      <c r="O61" s="40" t="str">
        <f>Rankings!B358&amp;" "&amp;Rankings!D358</f>
        <v>15 VL Platz 3 Rang 2</v>
      </c>
      <c r="P61" s="39" t="str">
        <f>Rankings!E358</f>
        <v>Handballregion Bottwar SG</v>
      </c>
      <c r="Q61" s="65" t="s">
        <v>274</v>
      </c>
      <c r="R61" s="28" t="str">
        <f>Rankings!B530&amp;" "&amp;Rankings!D530</f>
        <v>5 OL Platz 6</v>
      </c>
      <c r="S61" s="27" t="str">
        <f>Rankings!E530</f>
        <v>TuS Helmlingen</v>
      </c>
    </row>
    <row r="62" spans="2:19" ht="12" customHeight="1" x14ac:dyDescent="0.35">
      <c r="B62" s="67"/>
      <c r="C62" s="67"/>
      <c r="D62" s="68" t="s">
        <v>275</v>
      </c>
      <c r="E62" s="69" t="str">
        <f>Rankings!B58&amp;" "&amp;Rankings!D58</f>
        <v>18 VL Platz 4 Rang 1</v>
      </c>
      <c r="F62" s="112" t="str">
        <f>Rankings!E58</f>
        <v>TG Schömberg</v>
      </c>
      <c r="G62" s="70" t="s">
        <v>274</v>
      </c>
      <c r="H62" s="56" t="str">
        <f>Rankings!B230&amp;" "&amp;Rankings!D230</f>
        <v>6 OL Platz 6</v>
      </c>
      <c r="I62" s="77" t="str">
        <f>Rankings!E230</f>
        <v>TuS Altenheim</v>
      </c>
      <c r="J62" s="29"/>
      <c r="K62" s="30"/>
      <c r="L62" s="67"/>
      <c r="M62" s="67"/>
      <c r="N62" s="68" t="s">
        <v>275</v>
      </c>
      <c r="O62" s="69" t="str">
        <f>Rankings!B359&amp;" "&amp;Rankings!D359</f>
        <v>16 VL Platz 4 Rang 1</v>
      </c>
      <c r="P62" s="112" t="str">
        <f>Rankings!E359</f>
        <v>SG Hegensberg-Liebersbronn</v>
      </c>
      <c r="Q62" s="70" t="s">
        <v>274</v>
      </c>
      <c r="R62" s="71" t="str">
        <f>Rankings!B475&amp;" "&amp;Rankings!D475</f>
        <v>5 OL Platz 5</v>
      </c>
      <c r="S62" s="109" t="str">
        <f>Rankings!E475</f>
        <v>TSV Rot-Malsch</v>
      </c>
    </row>
    <row r="63" spans="2:19" ht="5" customHeight="1" x14ac:dyDescent="0.35">
      <c r="B63" s="58"/>
      <c r="C63" s="58"/>
      <c r="D63" s="58"/>
      <c r="E63" s="58"/>
      <c r="F63" s="58"/>
      <c r="G63" s="58"/>
      <c r="H63" s="58"/>
      <c r="I63" s="58"/>
      <c r="J63" s="95"/>
      <c r="K63" s="96"/>
      <c r="L63" s="58"/>
      <c r="M63" s="58"/>
      <c r="N63" s="58"/>
      <c r="O63" s="58"/>
      <c r="P63" s="58"/>
      <c r="Q63" s="58"/>
      <c r="R63" s="58"/>
      <c r="S63" s="58"/>
    </row>
    <row r="64" spans="2:19" ht="5" customHeight="1" x14ac:dyDescent="0.35">
      <c r="B64" s="47"/>
      <c r="C64" s="47"/>
      <c r="D64" s="47"/>
      <c r="E64" s="47"/>
      <c r="F64" s="47"/>
      <c r="G64" s="47"/>
      <c r="H64" s="47"/>
      <c r="I64" s="47"/>
      <c r="J64" s="93"/>
      <c r="K64" s="94"/>
      <c r="L64" s="47"/>
      <c r="M64" s="47"/>
      <c r="N64" s="47"/>
      <c r="O64" s="47"/>
      <c r="P64" s="47"/>
      <c r="Q64" s="47"/>
      <c r="R64" s="47"/>
      <c r="S64" s="47"/>
    </row>
    <row r="65" spans="2:19" ht="12" customHeight="1" x14ac:dyDescent="0.35">
      <c r="B65" s="72" t="s">
        <v>270</v>
      </c>
      <c r="C65" s="73" t="s">
        <v>405</v>
      </c>
      <c r="D65" s="73" t="s">
        <v>271</v>
      </c>
      <c r="E65" s="61" t="str">
        <f t="shared" ref="E65:F68" si="2">E59</f>
        <v>7 OL Platz 7</v>
      </c>
      <c r="F65" s="61" t="str">
        <f t="shared" si="2"/>
        <v>BSV Phönix Sinzheim</v>
      </c>
      <c r="G65" s="62" t="s">
        <v>274</v>
      </c>
      <c r="H65" s="46" t="str">
        <f t="shared" ref="H65:I68" si="3">H59</f>
        <v>15 VL Platz 2 Rang 2</v>
      </c>
      <c r="I65" s="46" t="str">
        <f t="shared" si="3"/>
        <v>TSV Altensteig</v>
      </c>
      <c r="J65" s="29"/>
      <c r="K65" s="30"/>
      <c r="L65" s="72" t="s">
        <v>270</v>
      </c>
      <c r="M65" s="73" t="s">
        <v>405</v>
      </c>
      <c r="N65" s="73" t="s">
        <v>271</v>
      </c>
      <c r="O65" s="63" t="str">
        <f t="shared" ref="O65:P68" si="4">O59</f>
        <v>6 OL Platz 6</v>
      </c>
      <c r="P65" s="63" t="str">
        <f t="shared" si="4"/>
        <v>TSG Wiesloch</v>
      </c>
      <c r="Q65" s="62" t="s">
        <v>274</v>
      </c>
      <c r="R65" s="46" t="str">
        <f t="shared" ref="R65:S68" si="5">R59</f>
        <v>13 VL Platz 2 Rang 2</v>
      </c>
      <c r="S65" s="46" t="str">
        <f t="shared" si="5"/>
        <v>VfL Pfullingen</v>
      </c>
    </row>
    <row r="66" spans="2:19" ht="12" customHeight="1" x14ac:dyDescent="0.35">
      <c r="B66" s="74"/>
      <c r="C66" s="75" t="s">
        <v>407</v>
      </c>
      <c r="D66" s="74" t="s">
        <v>271</v>
      </c>
      <c r="E66" s="43" t="str">
        <f t="shared" si="2"/>
        <v>7 OL Platz 7</v>
      </c>
      <c r="F66" s="43" t="str">
        <f t="shared" si="2"/>
        <v>Handball Wölfe Plankstadt e.V.</v>
      </c>
      <c r="G66" s="65" t="s">
        <v>274</v>
      </c>
      <c r="H66" s="40" t="str">
        <f t="shared" si="3"/>
        <v>16 VL Platz 3 Rang 1</v>
      </c>
      <c r="I66" s="40" t="str">
        <f t="shared" si="3"/>
        <v>Handballregion Bottwar SG</v>
      </c>
      <c r="J66" s="29"/>
      <c r="K66" s="30"/>
      <c r="L66" s="74"/>
      <c r="M66" s="75" t="s">
        <v>407</v>
      </c>
      <c r="N66" s="74" t="s">
        <v>271</v>
      </c>
      <c r="O66" s="28" t="str">
        <f t="shared" si="4"/>
        <v>6 OL Platz 7</v>
      </c>
      <c r="P66" s="28" t="str">
        <f t="shared" si="4"/>
        <v>SG Maulburg/Steinen</v>
      </c>
      <c r="Q66" s="65" t="s">
        <v>274</v>
      </c>
      <c r="R66" s="40" t="str">
        <f t="shared" si="5"/>
        <v>14 VL Platz 3 Rang 1</v>
      </c>
      <c r="S66" s="40" t="str">
        <f t="shared" si="5"/>
        <v>SG Herbrechtingen-Bolheim</v>
      </c>
    </row>
    <row r="67" spans="2:19" ht="12" customHeight="1" x14ac:dyDescent="0.35">
      <c r="B67" s="74"/>
      <c r="C67" s="75">
        <v>4</v>
      </c>
      <c r="D67" s="74" t="s">
        <v>271</v>
      </c>
      <c r="E67" s="40" t="str">
        <f t="shared" si="2"/>
        <v>17 VL Platz 3 Rang 2</v>
      </c>
      <c r="F67" s="40" t="str">
        <f t="shared" si="2"/>
        <v>TV Reichenbach</v>
      </c>
      <c r="G67" s="65" t="s">
        <v>274</v>
      </c>
      <c r="H67" s="43" t="str">
        <f t="shared" si="3"/>
        <v>6 OL Platz 6</v>
      </c>
      <c r="I67" s="43" t="str">
        <f t="shared" si="3"/>
        <v>TV Hardheim 1895</v>
      </c>
      <c r="J67" s="29"/>
      <c r="K67" s="30"/>
      <c r="L67" s="74"/>
      <c r="M67" s="75">
        <v>4</v>
      </c>
      <c r="N67" s="74" t="s">
        <v>271</v>
      </c>
      <c r="O67" s="40" t="str">
        <f t="shared" si="4"/>
        <v>15 VL Platz 3 Rang 2</v>
      </c>
      <c r="P67" s="40" t="str">
        <f t="shared" si="4"/>
        <v>Handballregion Bottwar SG</v>
      </c>
      <c r="Q67" s="65" t="s">
        <v>274</v>
      </c>
      <c r="R67" s="28" t="str">
        <f t="shared" si="5"/>
        <v>5 OL Platz 6</v>
      </c>
      <c r="S67" s="28" t="str">
        <f t="shared" si="5"/>
        <v>TuS Helmlingen</v>
      </c>
    </row>
    <row r="68" spans="2:19" ht="12" customHeight="1" x14ac:dyDescent="0.35">
      <c r="B68" s="74"/>
      <c r="C68" s="76"/>
      <c r="D68" s="76" t="s">
        <v>271</v>
      </c>
      <c r="E68" s="69" t="str">
        <f t="shared" si="2"/>
        <v>18 VL Platz 4 Rang 1</v>
      </c>
      <c r="F68" s="69" t="str">
        <f t="shared" si="2"/>
        <v>TG Schömberg</v>
      </c>
      <c r="G68" s="70" t="s">
        <v>274</v>
      </c>
      <c r="H68" s="56" t="str">
        <f t="shared" si="3"/>
        <v>6 OL Platz 6</v>
      </c>
      <c r="I68" s="56" t="str">
        <f t="shared" si="3"/>
        <v>TuS Altenheim</v>
      </c>
      <c r="J68" s="29"/>
      <c r="K68" s="30"/>
      <c r="L68" s="74"/>
      <c r="M68" s="76"/>
      <c r="N68" s="76" t="s">
        <v>271</v>
      </c>
      <c r="O68" s="69" t="str">
        <f t="shared" si="4"/>
        <v>16 VL Platz 4 Rang 1</v>
      </c>
      <c r="P68" s="69" t="str">
        <f t="shared" si="4"/>
        <v>SG Hegensberg-Liebersbronn</v>
      </c>
      <c r="Q68" s="70" t="s">
        <v>274</v>
      </c>
      <c r="R68" s="71" t="str">
        <f t="shared" si="5"/>
        <v>5 OL Platz 5</v>
      </c>
      <c r="S68" s="71" t="str">
        <f t="shared" si="5"/>
        <v>TSV Rot-Malsch</v>
      </c>
    </row>
    <row r="69" spans="2:19" ht="12" customHeight="1" x14ac:dyDescent="0.35">
      <c r="B69" s="74"/>
      <c r="C69" s="44" t="s">
        <v>0</v>
      </c>
      <c r="D69" s="45">
        <v>19</v>
      </c>
      <c r="E69" s="46" t="str">
        <f>Rankings!D59</f>
        <v>OLW Platz 13</v>
      </c>
      <c r="F69" s="44" t="str">
        <f>Rankings!E59</f>
        <v>TSV Deizisau</v>
      </c>
      <c r="G69" s="46"/>
      <c r="H69" s="47"/>
      <c r="I69" s="47"/>
      <c r="J69" s="29"/>
      <c r="K69" s="30"/>
      <c r="L69" s="74"/>
      <c r="M69" s="44" t="s">
        <v>0</v>
      </c>
      <c r="N69" s="45">
        <v>17</v>
      </c>
      <c r="O69" s="46" t="str">
        <f>Rankings!D360</f>
        <v>OLW Platz 9</v>
      </c>
      <c r="P69" s="44" t="str">
        <f>Rankings!E360</f>
        <v>TV Gerhausen 1900</v>
      </c>
      <c r="Q69" s="46"/>
      <c r="R69" s="47"/>
      <c r="S69" s="47"/>
    </row>
    <row r="70" spans="2:19" ht="12" customHeight="1" x14ac:dyDescent="0.35">
      <c r="B70" s="74"/>
      <c r="C70" s="41">
        <v>26</v>
      </c>
      <c r="D70" s="49">
        <f>1+D69</f>
        <v>20</v>
      </c>
      <c r="E70" s="40" t="str">
        <f>Rankings!D60</f>
        <v>OLW Platz 14</v>
      </c>
      <c r="F70" s="39" t="str">
        <f>Rankings!E60</f>
        <v>TV Oeffingen 1897</v>
      </c>
      <c r="G70" s="40"/>
      <c r="H70" s="24"/>
      <c r="I70" s="24"/>
      <c r="J70" s="29"/>
      <c r="K70" s="30"/>
      <c r="L70" s="74"/>
      <c r="M70" s="41">
        <v>22</v>
      </c>
      <c r="N70" s="49">
        <f>1+N69</f>
        <v>18</v>
      </c>
      <c r="O70" s="40" t="str">
        <f>Rankings!D361</f>
        <v>OLW Platz 10</v>
      </c>
      <c r="P70" s="39" t="str">
        <f>Rankings!E361</f>
        <v>TG Biberach</v>
      </c>
      <c r="Q70" s="40"/>
      <c r="R70" s="24"/>
      <c r="S70" s="24"/>
    </row>
    <row r="71" spans="2:19" ht="12" customHeight="1" x14ac:dyDescent="0.35">
      <c r="B71" s="74"/>
      <c r="C71" s="40"/>
      <c r="D71" s="49">
        <f t="shared" ref="D71:D94" si="6">1+D70</f>
        <v>21</v>
      </c>
      <c r="E71" s="40" t="str">
        <f>Rankings!D61</f>
        <v>VL Platz 4 Rang 2</v>
      </c>
      <c r="F71" s="39" t="str">
        <f>Rankings!E61</f>
        <v>TSV Alfdorf/Lorch/Waldhausen</v>
      </c>
      <c r="G71" s="40"/>
      <c r="H71" s="24"/>
      <c r="I71" s="24"/>
      <c r="J71" s="29"/>
      <c r="K71" s="30"/>
      <c r="L71" s="74"/>
      <c r="M71" s="40"/>
      <c r="N71" s="49">
        <f t="shared" ref="N71:N90" si="7">1+N70</f>
        <v>19</v>
      </c>
      <c r="O71" s="40" t="str">
        <f>Rankings!D362</f>
        <v>OLW Platz 11</v>
      </c>
      <c r="P71" s="39" t="str">
        <f>Rankings!E362</f>
        <v>MTG Wangen</v>
      </c>
      <c r="Q71" s="40"/>
      <c r="R71" s="24"/>
      <c r="S71" s="24"/>
    </row>
    <row r="72" spans="2:19" ht="12" customHeight="1" x14ac:dyDescent="0.35">
      <c r="B72" s="74"/>
      <c r="C72" s="40"/>
      <c r="D72" s="49">
        <f t="shared" si="6"/>
        <v>22</v>
      </c>
      <c r="E72" s="40" t="str">
        <f>Rankings!D62</f>
        <v>VL Platz 5 Rang 1</v>
      </c>
      <c r="F72" s="39" t="str">
        <f>Rankings!E62</f>
        <v>SG Ober-/Unterhausen</v>
      </c>
      <c r="G72" s="40"/>
      <c r="H72" s="24"/>
      <c r="I72" s="24"/>
      <c r="J72" s="29"/>
      <c r="K72" s="30"/>
      <c r="L72" s="74"/>
      <c r="M72" s="40"/>
      <c r="N72" s="49">
        <f t="shared" si="7"/>
        <v>20</v>
      </c>
      <c r="O72" s="40" t="str">
        <f>Rankings!D363</f>
        <v>VL Platz 4 Rang 2</v>
      </c>
      <c r="P72" s="39" t="str">
        <f>Rankings!E363</f>
        <v>HC Oppenweiler/Backnang</v>
      </c>
      <c r="Q72" s="40"/>
      <c r="R72" s="24"/>
      <c r="S72" s="24"/>
    </row>
    <row r="73" spans="2:19" ht="12" customHeight="1" x14ac:dyDescent="0.35">
      <c r="B73" s="74"/>
      <c r="C73" s="40"/>
      <c r="D73" s="49">
        <f t="shared" si="6"/>
        <v>23</v>
      </c>
      <c r="E73" s="40" t="str">
        <f>Rankings!D63</f>
        <v>VL Platz 5 Rang 2</v>
      </c>
      <c r="F73" s="39" t="str">
        <f>Rankings!E63</f>
        <v>Sport-Union Neckarsulm</v>
      </c>
      <c r="G73" s="40"/>
      <c r="H73" s="24"/>
      <c r="I73" s="24"/>
      <c r="J73" s="29"/>
      <c r="K73" s="30"/>
      <c r="L73" s="74"/>
      <c r="M73" s="40"/>
      <c r="N73" s="49">
        <f t="shared" si="7"/>
        <v>21</v>
      </c>
      <c r="O73" s="40" t="str">
        <f>Rankings!D364</f>
        <v>VL Platz 5 Rang 1</v>
      </c>
      <c r="P73" s="39" t="str">
        <f>Rankings!E364</f>
        <v>HSG Stuttgarter Kickers/TuS Metzingen 3</v>
      </c>
      <c r="Q73" s="40"/>
      <c r="R73" s="24"/>
      <c r="S73" s="24"/>
    </row>
    <row r="74" spans="2:19" ht="12" customHeight="1" x14ac:dyDescent="0.35">
      <c r="B74" s="74"/>
      <c r="C74" s="40"/>
      <c r="D74" s="49">
        <f t="shared" si="6"/>
        <v>24</v>
      </c>
      <c r="E74" s="40" t="str">
        <f>Rankings!D64</f>
        <v>VL Platz 6 Rang 1</v>
      </c>
      <c r="F74" s="39" t="str">
        <f>Rankings!E64</f>
        <v>TSV Denkendorf</v>
      </c>
      <c r="G74" s="40"/>
      <c r="H74" s="24"/>
      <c r="I74" s="24"/>
      <c r="J74" s="29"/>
      <c r="K74" s="30"/>
      <c r="L74" s="74"/>
      <c r="M74" s="40"/>
      <c r="N74" s="49">
        <f t="shared" si="7"/>
        <v>22</v>
      </c>
      <c r="O74" s="40" t="str">
        <f>Rankings!D365</f>
        <v>VL Platz 5 Rang 2</v>
      </c>
      <c r="P74" s="39" t="str">
        <f>Rankings!E365</f>
        <v>Spvgg Mössingen</v>
      </c>
      <c r="Q74" s="40"/>
      <c r="R74" s="24"/>
      <c r="S74" s="24"/>
    </row>
    <row r="75" spans="2:19" ht="12" customHeight="1" x14ac:dyDescent="0.35">
      <c r="B75" s="74"/>
      <c r="C75" s="40"/>
      <c r="D75" s="49">
        <f t="shared" si="6"/>
        <v>25</v>
      </c>
      <c r="E75" s="40" t="str">
        <f>Rankings!D65</f>
        <v>VL Platz 6 Rang 2</v>
      </c>
      <c r="F75" s="39" t="str">
        <f>Rankings!E65</f>
        <v>SG Hofen/Hüttlingen</v>
      </c>
      <c r="G75" s="40"/>
      <c r="H75" s="24"/>
      <c r="I75" s="24"/>
      <c r="J75" s="29"/>
      <c r="K75" s="30"/>
      <c r="L75" s="74"/>
      <c r="M75" s="40"/>
      <c r="N75" s="49">
        <f t="shared" si="7"/>
        <v>23</v>
      </c>
      <c r="O75" s="40" t="str">
        <f>Rankings!D366</f>
        <v>VL Platz 6 Rang 1</v>
      </c>
      <c r="P75" s="39" t="str">
        <f>Rankings!E366</f>
        <v>HSG Heilbronn</v>
      </c>
      <c r="Q75" s="40"/>
      <c r="R75" s="24"/>
      <c r="S75" s="24"/>
    </row>
    <row r="76" spans="2:19" ht="12" customHeight="1" x14ac:dyDescent="0.35">
      <c r="B76" s="74"/>
      <c r="C76" s="40"/>
      <c r="D76" s="49">
        <f t="shared" si="6"/>
        <v>26</v>
      </c>
      <c r="E76" s="40" t="str">
        <f>Rankings!D66</f>
        <v>VL Platz 7 Rang 1</v>
      </c>
      <c r="F76" s="39" t="str">
        <f>Rankings!E66</f>
        <v>Spvgg Mössingen</v>
      </c>
      <c r="G76" s="40"/>
      <c r="H76" s="24"/>
      <c r="I76" s="24"/>
      <c r="J76" s="29"/>
      <c r="K76" s="30"/>
      <c r="L76" s="74"/>
      <c r="M76" s="40"/>
      <c r="N76" s="49">
        <f t="shared" si="7"/>
        <v>24</v>
      </c>
      <c r="O76" s="40" t="str">
        <f>Rankings!D367</f>
        <v>VL Platz 6 Rang 2</v>
      </c>
      <c r="P76" s="39" t="str">
        <f>Rankings!E367</f>
        <v>SG Hofen/Hüttlingen</v>
      </c>
      <c r="Q76" s="40"/>
      <c r="R76" s="24"/>
      <c r="S76" s="24"/>
    </row>
    <row r="77" spans="2:19" ht="12" customHeight="1" x14ac:dyDescent="0.35">
      <c r="B77" s="74"/>
      <c r="C77" s="40"/>
      <c r="D77" s="49">
        <f t="shared" si="6"/>
        <v>27</v>
      </c>
      <c r="E77" s="40" t="str">
        <f>Rankings!D67</f>
        <v>VL Platz 7 Rang 2</v>
      </c>
      <c r="F77" s="39" t="str">
        <f>Rankings!E67</f>
        <v>TSF Ditzingen</v>
      </c>
      <c r="G77" s="40"/>
      <c r="H77" s="24"/>
      <c r="I77" s="24"/>
      <c r="J77" s="29"/>
      <c r="K77" s="30"/>
      <c r="L77" s="74"/>
      <c r="M77" s="40"/>
      <c r="N77" s="49">
        <f t="shared" si="7"/>
        <v>25</v>
      </c>
      <c r="O77" s="40" t="str">
        <f>Rankings!D368</f>
        <v>VL Platz 7 Rang 1</v>
      </c>
      <c r="P77" s="39" t="str">
        <f>Rankings!E368</f>
        <v>TSV Neckartenzlingen</v>
      </c>
      <c r="Q77" s="40"/>
      <c r="R77" s="24"/>
      <c r="S77" s="24"/>
    </row>
    <row r="78" spans="2:19" ht="12" customHeight="1" x14ac:dyDescent="0.35">
      <c r="B78" s="74"/>
      <c r="C78" s="40"/>
      <c r="D78" s="49">
        <f t="shared" si="6"/>
        <v>28</v>
      </c>
      <c r="E78" s="40" t="str">
        <f>Rankings!D68</f>
        <v>VL Platz 8 Rang 1</v>
      </c>
      <c r="F78" s="39" t="str">
        <f>Rankings!E68</f>
        <v>HSG Böblingen/Sindelfingen</v>
      </c>
      <c r="G78" s="40"/>
      <c r="H78" s="24"/>
      <c r="I78" s="24"/>
      <c r="J78" s="29"/>
      <c r="K78" s="30"/>
      <c r="L78" s="74"/>
      <c r="M78" s="40"/>
      <c r="N78" s="49">
        <f t="shared" si="7"/>
        <v>26</v>
      </c>
      <c r="O78" s="40" t="str">
        <f>Rankings!D369</f>
        <v>VL Platz 7 Rang 2</v>
      </c>
      <c r="P78" s="39" t="str">
        <f>Rankings!E369</f>
        <v>VfL Nagold</v>
      </c>
      <c r="Q78" s="40"/>
      <c r="R78" s="24"/>
      <c r="S78" s="24"/>
    </row>
    <row r="79" spans="2:19" ht="12" customHeight="1" x14ac:dyDescent="0.35">
      <c r="B79" s="74"/>
      <c r="C79" s="40"/>
      <c r="D79" s="49">
        <f t="shared" si="6"/>
        <v>29</v>
      </c>
      <c r="E79" s="40" t="str">
        <f>Rankings!D69</f>
        <v>VL Platz 8 Rang 2</v>
      </c>
      <c r="F79" s="39" t="str">
        <f>Rankings!E69</f>
        <v>TSV 1848 Bad Saulgau</v>
      </c>
      <c r="G79" s="40"/>
      <c r="H79" s="24"/>
      <c r="I79" s="24"/>
      <c r="J79" s="29"/>
      <c r="K79" s="30"/>
      <c r="L79" s="74"/>
      <c r="M79" s="40"/>
      <c r="N79" s="49">
        <f t="shared" si="7"/>
        <v>27</v>
      </c>
      <c r="O79" s="40" t="str">
        <f>Rankings!D370</f>
        <v>VL Platz 8 Rang 1</v>
      </c>
      <c r="P79" s="39" t="str">
        <f>Rankings!E370</f>
        <v>SG Ober-/Unterhausen</v>
      </c>
      <c r="Q79" s="40"/>
      <c r="R79" s="24"/>
      <c r="S79" s="24"/>
    </row>
    <row r="80" spans="2:19" ht="12" customHeight="1" x14ac:dyDescent="0.35">
      <c r="B80" s="74"/>
      <c r="C80" s="40"/>
      <c r="D80" s="49">
        <f t="shared" si="6"/>
        <v>30</v>
      </c>
      <c r="E80" s="40" t="str">
        <f>Rankings!D70</f>
        <v>VL Platz 9 Rang 1</v>
      </c>
      <c r="F80" s="39" t="str">
        <f>Rankings!E70</f>
        <v>SV Fellbach</v>
      </c>
      <c r="G80" s="40"/>
      <c r="H80" s="24"/>
      <c r="I80" s="24"/>
      <c r="J80" s="29"/>
      <c r="K80" s="30"/>
      <c r="L80" s="74"/>
      <c r="M80" s="40"/>
      <c r="N80" s="49">
        <f t="shared" si="7"/>
        <v>28</v>
      </c>
      <c r="O80" s="40" t="str">
        <f>Rankings!D371</f>
        <v>VL Platz 8 Rang 2</v>
      </c>
      <c r="P80" s="39" t="str">
        <f>Rankings!E371</f>
        <v>TSV Alfdorf/Lorch/Waldhausen</v>
      </c>
      <c r="Q80" s="40"/>
      <c r="R80" s="24"/>
      <c r="S80" s="24"/>
    </row>
    <row r="81" spans="2:19" ht="12" customHeight="1" x14ac:dyDescent="0.35">
      <c r="B81" s="74"/>
      <c r="C81" s="40"/>
      <c r="D81" s="49">
        <f t="shared" si="6"/>
        <v>31</v>
      </c>
      <c r="E81" s="40" t="str">
        <f>Rankings!D71</f>
        <v>VL Platz 9 Rang 2</v>
      </c>
      <c r="F81" s="39" t="str">
        <f>Rankings!E71</f>
        <v>TEAM Esslingen</v>
      </c>
      <c r="G81" s="40"/>
      <c r="H81" s="24"/>
      <c r="I81" s="24"/>
      <c r="J81" s="29"/>
      <c r="K81" s="30"/>
      <c r="L81" s="74"/>
      <c r="M81" s="40"/>
      <c r="N81" s="49">
        <f t="shared" si="7"/>
        <v>29</v>
      </c>
      <c r="O81" s="40" t="str">
        <f>Rankings!D372</f>
        <v>VL Platz 9 Rang 1</v>
      </c>
      <c r="P81" s="39" t="str">
        <f>Rankings!E372</f>
        <v>SC Lehr</v>
      </c>
      <c r="Q81" s="40"/>
      <c r="R81" s="24"/>
      <c r="S81" s="24"/>
    </row>
    <row r="82" spans="2:19" ht="12" customHeight="1" x14ac:dyDescent="0.35">
      <c r="B82" s="74"/>
      <c r="C82" s="40"/>
      <c r="D82" s="49">
        <f t="shared" si="6"/>
        <v>32</v>
      </c>
      <c r="E82" s="40" t="str">
        <f>Rankings!D72</f>
        <v>VL Platz 10 Rang 1</v>
      </c>
      <c r="F82" s="39" t="str">
        <f>Rankings!E72</f>
        <v>SV Remshalden</v>
      </c>
      <c r="G82" s="40"/>
      <c r="H82" s="24"/>
      <c r="I82" s="24"/>
      <c r="J82" s="29"/>
      <c r="K82" s="30"/>
      <c r="L82" s="74"/>
      <c r="M82" s="40"/>
      <c r="N82" s="49">
        <f t="shared" si="7"/>
        <v>30</v>
      </c>
      <c r="O82" s="40" t="str">
        <f>Rankings!D373</f>
        <v>VL Platz 9 Rang 2</v>
      </c>
      <c r="P82" s="39" t="str">
        <f>Rankings!E373</f>
        <v>TV Weilstetten</v>
      </c>
      <c r="Q82" s="40"/>
      <c r="R82" s="24"/>
      <c r="S82" s="24"/>
    </row>
    <row r="83" spans="2:19" ht="12" customHeight="1" x14ac:dyDescent="0.35">
      <c r="B83" s="74"/>
      <c r="C83" s="40"/>
      <c r="D83" s="49">
        <f t="shared" si="6"/>
        <v>33</v>
      </c>
      <c r="E83" s="40" t="str">
        <f>Rankings!D73</f>
        <v>VL Platz 10 Rang 2</v>
      </c>
      <c r="F83" s="39" t="str">
        <f>Rankings!E73</f>
        <v>VfL Pfullingen 2</v>
      </c>
      <c r="G83" s="40"/>
      <c r="H83" s="24"/>
      <c r="I83" s="24"/>
      <c r="J83" s="29"/>
      <c r="K83" s="30"/>
      <c r="L83" s="74"/>
      <c r="M83" s="40"/>
      <c r="N83" s="49">
        <f t="shared" si="7"/>
        <v>31</v>
      </c>
      <c r="O83" s="40" t="str">
        <f>Rankings!D374</f>
        <v>LL Platz 1 Rang 1</v>
      </c>
      <c r="P83" s="39" t="str">
        <f>Rankings!E374</f>
        <v>SG Argental</v>
      </c>
      <c r="Q83" s="40"/>
      <c r="R83" s="24"/>
      <c r="S83" s="24"/>
    </row>
    <row r="84" spans="2:19" ht="12" customHeight="1" x14ac:dyDescent="0.35">
      <c r="B84" s="74"/>
      <c r="C84" s="40"/>
      <c r="D84" s="49">
        <f t="shared" si="6"/>
        <v>34</v>
      </c>
      <c r="E84" s="40" t="str">
        <f>Rankings!D74</f>
        <v>VL Platz 11 Rang 1</v>
      </c>
      <c r="F84" s="39" t="str">
        <f>Rankings!E74</f>
        <v>SF Schwaikheim</v>
      </c>
      <c r="G84" s="40"/>
      <c r="H84" s="24"/>
      <c r="I84" s="24"/>
      <c r="J84" s="29"/>
      <c r="K84" s="30"/>
      <c r="L84" s="74"/>
      <c r="M84" s="40"/>
      <c r="N84" s="49">
        <f t="shared" si="7"/>
        <v>32</v>
      </c>
      <c r="O84" s="40" t="str">
        <f>Rankings!D375</f>
        <v>LL Platz 1 Rang 2</v>
      </c>
      <c r="P84" s="39" t="str">
        <f>Rankings!E375</f>
        <v>SG Degmarn-Oedheim</v>
      </c>
      <c r="Q84" s="40"/>
      <c r="R84" s="24"/>
      <c r="S84" s="24"/>
    </row>
    <row r="85" spans="2:19" ht="12" customHeight="1" x14ac:dyDescent="0.35">
      <c r="B85" s="74"/>
      <c r="C85" s="40"/>
      <c r="D85" s="49">
        <f t="shared" si="6"/>
        <v>35</v>
      </c>
      <c r="E85" s="40" t="str">
        <f>Rankings!D75</f>
        <v>VL Platz 11 Rang 2</v>
      </c>
      <c r="F85" s="39" t="str">
        <f>Rankings!E75</f>
        <v>HSG Winzingen-Wißgoldingen-Donzdorf</v>
      </c>
      <c r="G85" s="40"/>
      <c r="H85" s="24"/>
      <c r="I85" s="24"/>
      <c r="J85" s="29"/>
      <c r="K85" s="30"/>
      <c r="L85" s="74"/>
      <c r="M85" s="40"/>
      <c r="N85" s="49">
        <f t="shared" si="7"/>
        <v>33</v>
      </c>
      <c r="O85" s="40" t="str">
        <f>Rankings!D376</f>
        <v>LL Platz 1 Rang 3</v>
      </c>
      <c r="P85" s="39" t="str">
        <f>Rankings!E376</f>
        <v>TSV Neuhausen/F. 1898</v>
      </c>
      <c r="Q85" s="40"/>
      <c r="R85" s="24"/>
      <c r="S85" s="24"/>
    </row>
    <row r="86" spans="2:19" ht="12" customHeight="1" x14ac:dyDescent="0.35">
      <c r="B86" s="74"/>
      <c r="C86" s="40"/>
      <c r="D86" s="49">
        <f t="shared" si="6"/>
        <v>36</v>
      </c>
      <c r="E86" s="40" t="str">
        <f>Rankings!D76</f>
        <v>LL Platz 1 Rang 1</v>
      </c>
      <c r="F86" s="39" t="str">
        <f>Rankings!E76</f>
        <v>HSG Rottweil</v>
      </c>
      <c r="G86" s="40"/>
      <c r="H86" s="24"/>
      <c r="I86" s="24"/>
      <c r="J86" s="29"/>
      <c r="K86" s="30"/>
      <c r="L86" s="74"/>
      <c r="M86" s="40"/>
      <c r="N86" s="49">
        <f t="shared" si="7"/>
        <v>34</v>
      </c>
      <c r="O86" s="40" t="str">
        <f>Rankings!D377</f>
        <v>LL Platz 1 Rang 4</v>
      </c>
      <c r="P86" s="39" t="str">
        <f>Rankings!E377</f>
        <v>Hbi Weilimdorf/Feuerbach</v>
      </c>
      <c r="Q86" s="40"/>
      <c r="R86" s="24"/>
      <c r="S86" s="24"/>
    </row>
    <row r="87" spans="2:19" ht="12" customHeight="1" x14ac:dyDescent="0.35">
      <c r="B87" s="74"/>
      <c r="C87" s="40"/>
      <c r="D87" s="49">
        <f t="shared" si="6"/>
        <v>37</v>
      </c>
      <c r="E87" s="40" t="str">
        <f>Rankings!D77</f>
        <v>LL Platz 1 Rang 2</v>
      </c>
      <c r="F87" s="39" t="str">
        <f>Rankings!E77</f>
        <v>TSV Bartenbach</v>
      </c>
      <c r="G87" s="40"/>
      <c r="H87" s="24"/>
      <c r="I87" s="24"/>
      <c r="J87" s="29"/>
      <c r="K87" s="30"/>
      <c r="L87" s="74"/>
      <c r="M87" s="40"/>
      <c r="N87" s="49">
        <f t="shared" si="7"/>
        <v>35</v>
      </c>
      <c r="O87" s="40" t="str">
        <f>Rankings!D378</f>
        <v>LL Platz 2 Rang 1</v>
      </c>
      <c r="P87" s="39" t="str">
        <f>Rankings!E378</f>
        <v>SG Schozach-Bottwartal 2</v>
      </c>
      <c r="Q87" s="40"/>
      <c r="R87" s="24"/>
      <c r="S87" s="24"/>
    </row>
    <row r="88" spans="2:19" ht="12" customHeight="1" x14ac:dyDescent="0.35">
      <c r="B88" s="74"/>
      <c r="C88" s="40"/>
      <c r="D88" s="49">
        <f t="shared" si="6"/>
        <v>38</v>
      </c>
      <c r="E88" s="40" t="str">
        <f>Rankings!D78</f>
        <v>LL Platz 1 Rang 3</v>
      </c>
      <c r="F88" s="39" t="str">
        <f>Rankings!E78</f>
        <v>HB Ludwigsburg</v>
      </c>
      <c r="G88" s="40"/>
      <c r="H88" s="24"/>
      <c r="I88" s="24"/>
      <c r="J88" s="29"/>
      <c r="K88" s="30"/>
      <c r="L88" s="74"/>
      <c r="M88" s="40"/>
      <c r="N88" s="49">
        <f t="shared" si="7"/>
        <v>36</v>
      </c>
      <c r="O88" s="40" t="str">
        <f>Rankings!D379</f>
        <v>LL Platz 2 Rang 2</v>
      </c>
      <c r="P88" s="39" t="str">
        <f>Rankings!E379</f>
        <v>HSG Owen-Lenningen</v>
      </c>
      <c r="Q88" s="40"/>
      <c r="R88" s="24"/>
      <c r="S88" s="24"/>
    </row>
    <row r="89" spans="2:19" ht="12" customHeight="1" x14ac:dyDescent="0.35">
      <c r="B89" s="74"/>
      <c r="C89" s="40"/>
      <c r="D89" s="49">
        <f t="shared" si="6"/>
        <v>39</v>
      </c>
      <c r="E89" s="40" t="str">
        <f>Rankings!D79</f>
        <v>LL Platz 1 Rang 4</v>
      </c>
      <c r="F89" s="39" t="str">
        <f>Rankings!E79</f>
        <v>TV Gerhausen 1900</v>
      </c>
      <c r="G89" s="40"/>
      <c r="H89" s="24"/>
      <c r="I89" s="24"/>
      <c r="J89" s="29"/>
      <c r="K89" s="30"/>
      <c r="L89" s="74"/>
      <c r="M89" s="40"/>
      <c r="N89" s="49">
        <f t="shared" si="7"/>
        <v>37</v>
      </c>
      <c r="O89" s="40" t="str">
        <f>Rankings!D380</f>
        <v>LL Platz 2 Rang 3</v>
      </c>
      <c r="P89" s="39" t="str">
        <f>Rankings!E380</f>
        <v>HSG Winterbach/Weiler</v>
      </c>
      <c r="Q89" s="40"/>
      <c r="R89" s="24"/>
      <c r="S89" s="24"/>
    </row>
    <row r="90" spans="2:19" ht="12" customHeight="1" x14ac:dyDescent="0.35">
      <c r="B90" s="74"/>
      <c r="C90" s="40"/>
      <c r="D90" s="49">
        <f t="shared" si="6"/>
        <v>40</v>
      </c>
      <c r="E90" s="40" t="str">
        <f>Rankings!D80</f>
        <v>LL Platz 2 Rang 1</v>
      </c>
      <c r="F90" s="39" t="str">
        <f>Rankings!E80</f>
        <v>TSV Betzingen</v>
      </c>
      <c r="G90" s="40"/>
      <c r="H90" s="24"/>
      <c r="I90" s="24"/>
      <c r="J90" s="29"/>
      <c r="K90" s="30"/>
      <c r="L90" s="74"/>
      <c r="M90" s="40"/>
      <c r="N90" s="49">
        <f t="shared" si="7"/>
        <v>38</v>
      </c>
      <c r="O90" s="40" t="str">
        <f>Rankings!D381</f>
        <v>LL Platz 2 Rang 4</v>
      </c>
      <c r="P90" s="39" t="str">
        <f>Rankings!E381</f>
        <v>HSG Baar</v>
      </c>
      <c r="Q90" s="40"/>
      <c r="R90" s="24"/>
      <c r="S90" s="24"/>
    </row>
    <row r="91" spans="2:19" ht="12" customHeight="1" x14ac:dyDescent="0.35">
      <c r="B91" s="74"/>
      <c r="C91" s="40"/>
      <c r="D91" s="49">
        <f t="shared" si="6"/>
        <v>41</v>
      </c>
      <c r="E91" s="40" t="str">
        <f>Rankings!D81</f>
        <v>LL Platz 2 Rang 2</v>
      </c>
      <c r="F91" s="39" t="str">
        <f>Rankings!E81</f>
        <v>HV Rot-Weiß Laupheim</v>
      </c>
      <c r="G91" s="40"/>
      <c r="H91" s="24"/>
      <c r="I91" s="24"/>
      <c r="J91" s="29"/>
      <c r="K91" s="30"/>
      <c r="L91" s="74"/>
      <c r="M91" s="40"/>
      <c r="N91" s="49"/>
      <c r="O91" s="40"/>
      <c r="P91" s="40"/>
      <c r="Q91" s="40"/>
      <c r="R91" s="24"/>
      <c r="S91" s="24"/>
    </row>
    <row r="92" spans="2:19" ht="12" customHeight="1" x14ac:dyDescent="0.35">
      <c r="B92" s="74"/>
      <c r="C92" s="40"/>
      <c r="D92" s="49">
        <f t="shared" si="6"/>
        <v>42</v>
      </c>
      <c r="E92" s="40" t="str">
        <f>Rankings!D82</f>
        <v>LL Platz 2 Rang 3</v>
      </c>
      <c r="F92" s="39" t="str">
        <f>Rankings!E82</f>
        <v>SG H2Ku Herrenberg 2</v>
      </c>
      <c r="G92" s="40"/>
      <c r="H92" s="24"/>
      <c r="I92" s="24"/>
      <c r="J92" s="29"/>
      <c r="K92" s="30"/>
      <c r="L92" s="74"/>
      <c r="M92" s="40"/>
      <c r="N92" s="49"/>
      <c r="O92" s="40"/>
      <c r="P92" s="40"/>
      <c r="Q92" s="40"/>
      <c r="R92" s="24"/>
      <c r="S92" s="24"/>
    </row>
    <row r="93" spans="2:19" ht="12" customHeight="1" x14ac:dyDescent="0.35">
      <c r="B93" s="74"/>
      <c r="C93" s="40"/>
      <c r="D93" s="49">
        <f t="shared" si="6"/>
        <v>43</v>
      </c>
      <c r="E93" s="40" t="str">
        <f>Rankings!D83</f>
        <v>LL Platz 2 Rang 4</v>
      </c>
      <c r="F93" s="39" t="str">
        <f>Rankings!E83</f>
        <v>TV Spaichingen</v>
      </c>
      <c r="G93" s="40"/>
      <c r="H93" s="24"/>
      <c r="I93" s="24"/>
      <c r="J93" s="29"/>
      <c r="K93" s="30"/>
      <c r="L93" s="74"/>
      <c r="M93" s="40"/>
      <c r="N93" s="49"/>
      <c r="O93" s="40"/>
      <c r="P93" s="40"/>
      <c r="Q93" s="40"/>
      <c r="R93" s="24"/>
      <c r="S93" s="24"/>
    </row>
    <row r="94" spans="2:19" ht="12" customHeight="1" x14ac:dyDescent="0.35">
      <c r="B94" s="74"/>
      <c r="C94" s="40"/>
      <c r="D94" s="49">
        <f t="shared" si="6"/>
        <v>44</v>
      </c>
      <c r="E94" s="40" t="str">
        <f>Rankings!D84</f>
        <v>LL Platz 3 Rang 1</v>
      </c>
      <c r="F94" s="39" t="str">
        <f>Rankings!E84</f>
        <v>SG Herbrechtingen-Bolheim</v>
      </c>
      <c r="G94" s="40"/>
      <c r="H94" s="24"/>
      <c r="I94" s="24"/>
      <c r="J94" s="29"/>
      <c r="K94" s="30"/>
      <c r="L94" s="74"/>
      <c r="M94" s="40"/>
      <c r="N94" s="49"/>
      <c r="O94" s="40"/>
      <c r="P94" s="40"/>
      <c r="Q94" s="40"/>
      <c r="R94" s="24"/>
      <c r="S94" s="24"/>
    </row>
    <row r="95" spans="2:19" ht="12" customHeight="1" x14ac:dyDescent="0.35">
      <c r="B95" s="74"/>
      <c r="C95" s="42" t="s">
        <v>56</v>
      </c>
      <c r="D95" s="52">
        <v>8</v>
      </c>
      <c r="E95" s="43" t="str">
        <f>Rankings!D175</f>
        <v>OL Platz 8</v>
      </c>
      <c r="F95" s="42" t="str">
        <f>Rankings!E175</f>
        <v>TSG Wiesloch</v>
      </c>
      <c r="G95" s="43"/>
      <c r="H95" s="24"/>
      <c r="I95" s="24"/>
      <c r="J95" s="29"/>
      <c r="K95" s="30"/>
      <c r="L95" s="74"/>
      <c r="M95" s="42" t="s">
        <v>56</v>
      </c>
      <c r="N95" s="52">
        <v>7</v>
      </c>
      <c r="O95" s="43" t="str">
        <f>Rankings!D477</f>
        <v>OL Platz 7</v>
      </c>
      <c r="P95" s="42" t="str">
        <f>Rankings!E477</f>
        <v>TV Edingen</v>
      </c>
      <c r="Q95" s="43"/>
      <c r="R95" s="24"/>
      <c r="S95" s="24"/>
    </row>
    <row r="96" spans="2:19" ht="12" customHeight="1" x14ac:dyDescent="0.35">
      <c r="B96" s="74"/>
      <c r="C96" s="53">
        <v>9</v>
      </c>
      <c r="D96" s="52">
        <v>9</v>
      </c>
      <c r="E96" s="43" t="str">
        <f>Rankings!D176</f>
        <v>OL Platz 9</v>
      </c>
      <c r="F96" s="42" t="str">
        <f>Rankings!E176</f>
        <v>TSV Rot-Malsch</v>
      </c>
      <c r="G96" s="43"/>
      <c r="H96" s="24"/>
      <c r="I96" s="24"/>
      <c r="J96" s="29"/>
      <c r="K96" s="30"/>
      <c r="L96" s="74"/>
      <c r="M96" s="53">
        <v>7</v>
      </c>
      <c r="N96" s="52">
        <v>8</v>
      </c>
      <c r="O96" s="43" t="str">
        <f>Rankings!D478</f>
        <v>OL Platz 8</v>
      </c>
      <c r="P96" s="42" t="str">
        <f>Rankings!E478</f>
        <v>SG Heidelsheim/Helmsheim</v>
      </c>
      <c r="Q96" s="43"/>
      <c r="R96" s="24"/>
      <c r="S96" s="24"/>
    </row>
    <row r="97" spans="2:19" ht="12" customHeight="1" x14ac:dyDescent="0.35">
      <c r="B97" s="74"/>
      <c r="C97" s="43"/>
      <c r="D97" s="52">
        <v>10</v>
      </c>
      <c r="E97" s="43" t="str">
        <f>Rankings!D177</f>
        <v>OL Platz 10</v>
      </c>
      <c r="F97" s="42" t="str">
        <f>Rankings!E177</f>
        <v>HG Oftersheim/Schwetzingen 2</v>
      </c>
      <c r="G97" s="43"/>
      <c r="H97" s="24"/>
      <c r="I97" s="24"/>
      <c r="J97" s="29"/>
      <c r="K97" s="30"/>
      <c r="L97" s="74"/>
      <c r="M97" s="43"/>
      <c r="N97" s="52">
        <v>9</v>
      </c>
      <c r="O97" s="43" t="str">
        <f>Rankings!D479</f>
        <v>OL Platz 9</v>
      </c>
      <c r="P97" s="42" t="str">
        <f>Rankings!E479</f>
        <v>TV Brühl</v>
      </c>
      <c r="Q97" s="43"/>
      <c r="R97" s="24"/>
      <c r="S97" s="24"/>
    </row>
    <row r="98" spans="2:19" ht="12" customHeight="1" x14ac:dyDescent="0.35">
      <c r="B98" s="74"/>
      <c r="C98" s="43"/>
      <c r="D98" s="52">
        <v>11</v>
      </c>
      <c r="E98" s="43" t="str">
        <f>Rankings!D178</f>
        <v>OL Platz 11</v>
      </c>
      <c r="F98" s="42" t="str">
        <f>Rankings!E178</f>
        <v>TSV Knittlingen</v>
      </c>
      <c r="G98" s="43"/>
      <c r="H98" s="24"/>
      <c r="I98" s="24"/>
      <c r="J98" s="29"/>
      <c r="K98" s="30"/>
      <c r="L98" s="74"/>
      <c r="M98" s="43"/>
      <c r="N98" s="52">
        <v>10</v>
      </c>
      <c r="O98" s="43" t="str">
        <f>Rankings!D480</f>
        <v>OL Platz 10</v>
      </c>
      <c r="P98" s="42" t="str">
        <f>Rankings!E480</f>
        <v>HSG TSG Weinheim-TV Oberflockenbach</v>
      </c>
      <c r="Q98" s="43"/>
      <c r="R98" s="24"/>
      <c r="S98" s="24"/>
    </row>
    <row r="99" spans="2:19" ht="12" customHeight="1" x14ac:dyDescent="0.35">
      <c r="B99" s="74"/>
      <c r="C99" s="43"/>
      <c r="D99" s="52">
        <v>12</v>
      </c>
      <c r="E99" s="43" t="str">
        <f>Rankings!D179</f>
        <v>OL Platz 12</v>
      </c>
      <c r="F99" s="42" t="str">
        <f>Rankings!E179</f>
        <v>TV Knielingen</v>
      </c>
      <c r="G99" s="43"/>
      <c r="H99" s="24"/>
      <c r="I99" s="24"/>
      <c r="J99" s="29"/>
      <c r="K99" s="30"/>
      <c r="L99" s="74"/>
      <c r="M99" s="43"/>
      <c r="N99" s="52">
        <v>11</v>
      </c>
      <c r="O99" s="43" t="str">
        <f>Rankings!D481</f>
        <v>VL Platz 1</v>
      </c>
      <c r="P99" s="42" t="str">
        <f>Rankings!E481</f>
        <v>HC Mannheim-Vogelstang</v>
      </c>
      <c r="Q99" s="43"/>
      <c r="R99" s="24"/>
      <c r="S99" s="24"/>
    </row>
    <row r="100" spans="2:19" ht="12" customHeight="1" x14ac:dyDescent="0.35">
      <c r="B100" s="74"/>
      <c r="C100" s="43"/>
      <c r="D100" s="52">
        <v>13</v>
      </c>
      <c r="E100" s="43" t="str">
        <f>Rankings!D180</f>
        <v>VL Platz 1</v>
      </c>
      <c r="F100" s="110" t="str">
        <f>Rankings!E180</f>
        <v>TSV Handschuhsheim</v>
      </c>
      <c r="G100" s="43"/>
      <c r="H100" s="24"/>
      <c r="I100" s="24"/>
      <c r="J100" s="29"/>
      <c r="K100" s="30"/>
      <c r="L100" s="74"/>
      <c r="M100" s="43"/>
      <c r="N100" s="52">
        <v>12</v>
      </c>
      <c r="O100" s="43" t="str">
        <f>Rankings!D482</f>
        <v>VL Platz 2</v>
      </c>
      <c r="P100" s="42" t="str">
        <f>Rankings!E482</f>
        <v>SG KIT/MTV Karlsruhe</v>
      </c>
      <c r="Q100" s="43"/>
      <c r="R100" s="24"/>
      <c r="S100" s="24"/>
    </row>
    <row r="101" spans="2:19" ht="12" customHeight="1" x14ac:dyDescent="0.35">
      <c r="B101" s="74"/>
      <c r="C101" s="43"/>
      <c r="D101" s="52">
        <v>14</v>
      </c>
      <c r="E101" s="43" t="str">
        <f>Rankings!D181</f>
        <v>VL Platz 2</v>
      </c>
      <c r="F101" s="42" t="str">
        <f>Rankings!E181</f>
        <v>TSV Birkenau</v>
      </c>
      <c r="G101" s="43"/>
      <c r="H101" s="24"/>
      <c r="I101" s="24"/>
      <c r="J101" s="29"/>
      <c r="K101" s="30"/>
      <c r="L101" s="74"/>
      <c r="M101" s="43"/>
      <c r="N101" s="52">
        <v>13</v>
      </c>
      <c r="O101" s="43" t="str">
        <f>Rankings!D483</f>
        <v>OL Platz 11</v>
      </c>
      <c r="P101" s="42" t="str">
        <f>Rankings!E483</f>
        <v>SG Nußloch</v>
      </c>
      <c r="Q101" s="43"/>
      <c r="R101" s="24"/>
      <c r="S101" s="24"/>
    </row>
    <row r="102" spans="2:19" ht="12" customHeight="1" x14ac:dyDescent="0.35">
      <c r="B102" s="74"/>
      <c r="C102" s="43"/>
      <c r="D102" s="52">
        <v>15</v>
      </c>
      <c r="E102" s="43" t="str">
        <f>Rankings!D182</f>
        <v>OL Platz 13</v>
      </c>
      <c r="F102" s="42" t="str">
        <f>Rankings!E182</f>
        <v>HSG Weschnitztal</v>
      </c>
      <c r="G102" s="43"/>
      <c r="H102" s="24"/>
      <c r="I102" s="24"/>
      <c r="J102" s="29"/>
      <c r="K102" s="30"/>
      <c r="L102" s="74"/>
      <c r="M102" s="43"/>
      <c r="N102" s="52"/>
      <c r="O102" s="43"/>
      <c r="P102" s="43"/>
      <c r="Q102" s="43"/>
      <c r="R102" s="24"/>
      <c r="S102" s="24"/>
    </row>
    <row r="103" spans="2:19" ht="12" customHeight="1" x14ac:dyDescent="0.35">
      <c r="B103" s="74"/>
      <c r="C103" s="43"/>
      <c r="D103" s="52">
        <v>16</v>
      </c>
      <c r="E103" s="43" t="str">
        <f>Rankings!D183</f>
        <v>OL Platz 14</v>
      </c>
      <c r="F103" s="42" t="str">
        <f>Rankings!E183</f>
        <v>TV Friedrichsfeld</v>
      </c>
      <c r="G103" s="43"/>
      <c r="H103" s="24"/>
      <c r="I103" s="24"/>
      <c r="J103" s="29"/>
      <c r="K103" s="30"/>
      <c r="L103" s="74"/>
      <c r="M103" s="43"/>
      <c r="N103" s="52"/>
      <c r="O103" s="43"/>
      <c r="P103" s="43"/>
      <c r="Q103" s="43"/>
      <c r="R103" s="24"/>
      <c r="S103" s="24"/>
    </row>
    <row r="104" spans="2:19" ht="12" customHeight="1" x14ac:dyDescent="0.35">
      <c r="B104" s="74"/>
      <c r="C104" s="27" t="s">
        <v>55</v>
      </c>
      <c r="D104" s="54">
        <v>8</v>
      </c>
      <c r="E104" s="28" t="str">
        <f>Rankings!D232</f>
        <v>OL Platz 8</v>
      </c>
      <c r="F104" s="27" t="str">
        <f>Rankings!E232</f>
        <v>TuS Helmlingen</v>
      </c>
      <c r="G104" s="28"/>
      <c r="H104" s="24"/>
      <c r="I104" s="24"/>
      <c r="J104" s="29"/>
      <c r="K104" s="30"/>
      <c r="L104" s="74"/>
      <c r="M104" s="27" t="s">
        <v>55</v>
      </c>
      <c r="N104" s="54">
        <v>7</v>
      </c>
      <c r="O104" s="28" t="str">
        <f>Rankings!D532</f>
        <v>OL Platz 8</v>
      </c>
      <c r="P104" s="27" t="str">
        <f>Rankings!E532</f>
        <v>TuS Steißlingen 2</v>
      </c>
      <c r="Q104" s="28"/>
      <c r="R104" s="24"/>
      <c r="S104" s="24"/>
    </row>
    <row r="105" spans="2:19" ht="12" customHeight="1" x14ac:dyDescent="0.35">
      <c r="B105" s="74"/>
      <c r="C105" s="55">
        <v>9</v>
      </c>
      <c r="D105" s="54">
        <v>9</v>
      </c>
      <c r="E105" s="28" t="str">
        <f>Rankings!D233</f>
        <v>OL Platz 9</v>
      </c>
      <c r="F105" s="27" t="str">
        <f>Rankings!E233</f>
        <v>SG Kappelwindeck/Steinbach</v>
      </c>
      <c r="G105" s="28"/>
      <c r="H105" s="24"/>
      <c r="I105" s="24"/>
      <c r="J105" s="29"/>
      <c r="K105" s="30"/>
      <c r="L105" s="74"/>
      <c r="M105" s="55">
        <v>7</v>
      </c>
      <c r="N105" s="54">
        <v>8</v>
      </c>
      <c r="O105" s="28" t="str">
        <f>Rankings!D533</f>
        <v>OL Platz 9</v>
      </c>
      <c r="P105" s="27" t="str">
        <f>Rankings!E533</f>
        <v>SV Allensbach 2</v>
      </c>
      <c r="Q105" s="28"/>
      <c r="R105" s="24"/>
      <c r="S105" s="24"/>
    </row>
    <row r="106" spans="2:19" ht="12" customHeight="1" x14ac:dyDescent="0.35">
      <c r="B106" s="74"/>
      <c r="C106" s="28"/>
      <c r="D106" s="54">
        <v>10</v>
      </c>
      <c r="E106" s="28" t="str">
        <f>Rankings!D234</f>
        <v>OL Platz 10</v>
      </c>
      <c r="F106" s="27" t="str">
        <f>Rankings!E234</f>
        <v>TV Oberkirch</v>
      </c>
      <c r="G106" s="28"/>
      <c r="H106" s="24"/>
      <c r="I106" s="24"/>
      <c r="J106" s="29"/>
      <c r="K106" s="30"/>
      <c r="L106" s="74"/>
      <c r="M106" s="28"/>
      <c r="N106" s="54">
        <v>9</v>
      </c>
      <c r="O106" s="28" t="str">
        <f>Rankings!D534</f>
        <v>LL Platz 1 Rang 1</v>
      </c>
      <c r="P106" s="27" t="str">
        <f>Rankings!E534</f>
        <v>SG TG Altdorf/DJK Ettenheim</v>
      </c>
      <c r="Q106" s="28"/>
      <c r="R106" s="24"/>
      <c r="S106" s="24"/>
    </row>
    <row r="107" spans="2:19" ht="12" customHeight="1" x14ac:dyDescent="0.35">
      <c r="B107" s="74"/>
      <c r="C107" s="28"/>
      <c r="D107" s="54">
        <v>11</v>
      </c>
      <c r="E107" s="28" t="str">
        <f>Rankings!D235</f>
        <v>OL Platz 11</v>
      </c>
      <c r="F107" s="27" t="str">
        <f>Rankings!E235</f>
        <v>SG Muggensturm/Kuppenheim</v>
      </c>
      <c r="G107" s="28"/>
      <c r="H107" s="24"/>
      <c r="I107" s="24"/>
      <c r="J107" s="29"/>
      <c r="K107" s="30"/>
      <c r="L107" s="74"/>
      <c r="M107" s="28"/>
      <c r="N107" s="54">
        <v>10</v>
      </c>
      <c r="O107" s="28" t="str">
        <f>Rankings!D535</f>
        <v>LL Platz 1 Rang 2</v>
      </c>
      <c r="P107" s="27" t="str">
        <f>Rankings!E535</f>
        <v>BSV Phönix Sinzheim</v>
      </c>
      <c r="Q107" s="28"/>
      <c r="R107" s="24"/>
      <c r="S107" s="24"/>
    </row>
    <row r="108" spans="2:19" ht="12" customHeight="1" x14ac:dyDescent="0.35">
      <c r="B108" s="74"/>
      <c r="C108" s="28"/>
      <c r="D108" s="54">
        <v>12</v>
      </c>
      <c r="E108" s="28" t="str">
        <f>Rankings!D236</f>
        <v>LL Platz 1 Rang 1</v>
      </c>
      <c r="F108" s="27" t="str">
        <f>Rankings!E236</f>
        <v>TSV Alemannia Freiburg-Zähringen</v>
      </c>
      <c r="G108" s="28"/>
      <c r="H108" s="24"/>
      <c r="I108" s="24"/>
      <c r="J108" s="29"/>
      <c r="K108" s="30"/>
      <c r="L108" s="74"/>
      <c r="M108" s="28"/>
      <c r="N108" s="54">
        <v>11</v>
      </c>
      <c r="O108" s="28" t="str">
        <f>Rankings!D536</f>
        <v>OL Platz 10</v>
      </c>
      <c r="P108" s="27" t="str">
        <f>Rankings!E536</f>
        <v>SG Kappelwindeck/Steinbach 2</v>
      </c>
      <c r="Q108" s="28"/>
      <c r="R108" s="24"/>
      <c r="S108" s="24"/>
    </row>
    <row r="109" spans="2:19" ht="12" customHeight="1" x14ac:dyDescent="0.35">
      <c r="B109" s="74"/>
      <c r="C109" s="28"/>
      <c r="D109" s="54">
        <v>13</v>
      </c>
      <c r="E109" s="28" t="str">
        <f>Rankings!D237</f>
        <v>LL Platz 1 Rang 2</v>
      </c>
      <c r="F109" s="27" t="str">
        <f>Rankings!E237</f>
        <v>TuS Schutterwald 2</v>
      </c>
      <c r="G109" s="28"/>
      <c r="H109" s="24"/>
      <c r="I109" s="24"/>
      <c r="J109" s="29"/>
      <c r="K109" s="30"/>
      <c r="L109" s="74"/>
      <c r="M109" s="28"/>
      <c r="N109" s="54">
        <v>12</v>
      </c>
      <c r="O109" s="28" t="str">
        <f>Rankings!D537</f>
        <v>OL Platz 11</v>
      </c>
      <c r="P109" s="27" t="str">
        <f>Rankings!E537</f>
        <v>HSG Dreiland</v>
      </c>
      <c r="Q109" s="28"/>
      <c r="R109" s="24"/>
      <c r="S109" s="24"/>
    </row>
    <row r="110" spans="2:19" ht="12" customHeight="1" x14ac:dyDescent="0.35">
      <c r="B110" s="74"/>
      <c r="C110" s="28"/>
      <c r="D110" s="54">
        <v>14</v>
      </c>
      <c r="E110" s="28" t="str">
        <f>Rankings!D238</f>
        <v>OL Platz 12</v>
      </c>
      <c r="F110" s="27" t="str">
        <f>Rankings!E238</f>
        <v>SG Freudenstadt/Baiersbronn</v>
      </c>
      <c r="G110" s="28"/>
      <c r="H110" s="24"/>
      <c r="I110" s="24"/>
      <c r="J110" s="29"/>
      <c r="K110" s="30"/>
      <c r="L110" s="74"/>
      <c r="M110" s="28"/>
      <c r="N110" s="54">
        <v>13</v>
      </c>
      <c r="O110" s="28" t="str">
        <f>Rankings!D538</f>
        <v>OL Platz 12</v>
      </c>
      <c r="P110" s="27" t="str">
        <f>Rankings!E538</f>
        <v>SG Gutach/Wolfach</v>
      </c>
      <c r="Q110" s="28"/>
      <c r="R110" s="24"/>
      <c r="S110" s="24"/>
    </row>
    <row r="111" spans="2:19" ht="12" customHeight="1" x14ac:dyDescent="0.35">
      <c r="B111" s="74"/>
      <c r="C111" s="28"/>
      <c r="D111" s="54">
        <v>15</v>
      </c>
      <c r="E111" s="28" t="str">
        <f>Rankings!D239</f>
        <v>OL Platz 13</v>
      </c>
      <c r="F111" s="27" t="str">
        <f>Rankings!E239</f>
        <v>SG Ohlsbach/Elgersweier</v>
      </c>
      <c r="G111" s="28"/>
      <c r="H111" s="24"/>
      <c r="I111" s="24"/>
      <c r="J111" s="29"/>
      <c r="K111" s="30"/>
      <c r="L111" s="74"/>
      <c r="M111" s="28"/>
      <c r="N111" s="54"/>
      <c r="O111" s="28"/>
      <c r="P111" s="28"/>
      <c r="Q111" s="28"/>
      <c r="R111" s="24"/>
      <c r="S111" s="24"/>
    </row>
    <row r="112" spans="2:19" ht="12" customHeight="1" x14ac:dyDescent="0.35">
      <c r="B112" s="74"/>
      <c r="C112" s="56"/>
      <c r="D112" s="57">
        <v>16</v>
      </c>
      <c r="E112" s="56" t="str">
        <f>Rankings!D240</f>
        <v>OL Platz 14</v>
      </c>
      <c r="F112" s="77" t="str">
        <f>Rankings!E240</f>
        <v>SG Scutro</v>
      </c>
      <c r="G112" s="56"/>
      <c r="H112" s="58"/>
      <c r="I112" s="58"/>
      <c r="J112" s="29"/>
      <c r="K112" s="30"/>
      <c r="L112" s="74"/>
      <c r="M112" s="56"/>
      <c r="N112" s="57"/>
      <c r="O112" s="56"/>
      <c r="P112" s="56"/>
      <c r="Q112" s="56"/>
      <c r="R112" s="58"/>
      <c r="S112" s="58"/>
    </row>
    <row r="113" spans="2:19" ht="12" customHeight="1" x14ac:dyDescent="0.35">
      <c r="B113" s="74"/>
      <c r="C113" s="73" t="s">
        <v>405</v>
      </c>
      <c r="D113" s="78" t="s">
        <v>275</v>
      </c>
      <c r="E113" s="63" t="str">
        <f>Rankings!B187&amp;" "&amp;Rankings!D187</f>
        <v>20 VL Platz 6</v>
      </c>
      <c r="F113" s="108" t="str">
        <f>Rankings!E187</f>
        <v>HSG Bruchsal/Untergrombach</v>
      </c>
      <c r="G113" s="62" t="s">
        <v>274</v>
      </c>
      <c r="H113" s="40" t="str">
        <f>Rankings!B85&amp;" "&amp;Rankings!D85</f>
        <v>45 LL Platz 3 Rang 2</v>
      </c>
      <c r="I113" s="44" t="str">
        <f>Rankings!E85</f>
        <v>HSG Ebersbach/Bünzwangen</v>
      </c>
      <c r="J113" s="29"/>
      <c r="K113" s="30"/>
      <c r="L113" s="74"/>
      <c r="M113" s="73" t="s">
        <v>405</v>
      </c>
      <c r="N113" s="78" t="s">
        <v>275</v>
      </c>
      <c r="O113" s="61" t="str">
        <f>Rankings!B542&amp;" "&amp;Rankings!D542</f>
        <v>17 LL Platz 3 Rang 2</v>
      </c>
      <c r="P113" s="104" t="str">
        <f>Rankings!E542</f>
        <v>SG Scutro</v>
      </c>
      <c r="Q113" s="62" t="s">
        <v>274</v>
      </c>
      <c r="R113" s="40" t="str">
        <f>Rankings!B382&amp;" "&amp;Rankings!D382</f>
        <v>39 LL Platz 3 Rang 1</v>
      </c>
      <c r="S113" s="44" t="str">
        <f>Rankings!E382</f>
        <v>SG Tübingen</v>
      </c>
    </row>
    <row r="114" spans="2:19" ht="12" customHeight="1" x14ac:dyDescent="0.35">
      <c r="B114" s="74"/>
      <c r="C114" s="74" t="s">
        <v>406</v>
      </c>
      <c r="D114" s="79" t="s">
        <v>275</v>
      </c>
      <c r="E114" s="28" t="str">
        <f>Rankings!B244&amp;" "&amp;Rankings!D244</f>
        <v>20 LL Platz 3 Rang 2</v>
      </c>
      <c r="F114" s="27" t="str">
        <f>Rankings!E244</f>
        <v>HGW Hofweier</v>
      </c>
      <c r="G114" s="65" t="s">
        <v>274</v>
      </c>
      <c r="H114" s="40" t="str">
        <f>Rankings!B86&amp;" "&amp;Rankings!D86</f>
        <v>46 LL Platz 3 Rang 3</v>
      </c>
      <c r="I114" s="39" t="str">
        <f>Rankings!E86</f>
        <v>TV Mundelsheim</v>
      </c>
      <c r="J114" s="29"/>
      <c r="K114" s="30"/>
      <c r="L114" s="74"/>
      <c r="M114" s="74" t="s">
        <v>406</v>
      </c>
      <c r="N114" s="79" t="s">
        <v>275</v>
      </c>
      <c r="O114" s="43" t="str">
        <f>Rankings!B487&amp;" "&amp;Rankings!D487</f>
        <v>17 VL Platz 5</v>
      </c>
      <c r="P114" s="42" t="str">
        <f>Rankings!E487</f>
        <v>Rhein-Neckar Löwen</v>
      </c>
      <c r="Q114" s="65" t="s">
        <v>274</v>
      </c>
      <c r="R114" s="40" t="str">
        <f>Rankings!B383&amp;" "&amp;Rankings!D383</f>
        <v>40 LL Platz 3 Rang 2</v>
      </c>
      <c r="S114" s="39" t="str">
        <f>Rankings!E383</f>
        <v>TV Reichenbach</v>
      </c>
    </row>
    <row r="115" spans="2:19" ht="12" customHeight="1" x14ac:dyDescent="0.35">
      <c r="B115" s="74"/>
      <c r="C115" s="75">
        <v>8</v>
      </c>
      <c r="D115" s="79" t="s">
        <v>275</v>
      </c>
      <c r="E115" s="28" t="str">
        <f>Rankings!B243&amp;" "&amp;Rankings!D243</f>
        <v>19 LL Platz 3 Rang 1</v>
      </c>
      <c r="F115" s="27" t="str">
        <f>Rankings!E243</f>
        <v>SG Köndringen/Teningen 2</v>
      </c>
      <c r="G115" s="65" t="s">
        <v>274</v>
      </c>
      <c r="H115" s="40" t="str">
        <f>Rankings!B87&amp;" "&amp;Rankings!D87</f>
        <v>47 LL Platz 3 Rang 4</v>
      </c>
      <c r="I115" s="39" t="str">
        <f>Rankings!E87</f>
        <v>HSG Baar</v>
      </c>
      <c r="J115" s="29"/>
      <c r="K115" s="30"/>
      <c r="L115" s="74"/>
      <c r="M115" s="75">
        <v>8</v>
      </c>
      <c r="N115" s="79" t="s">
        <v>275</v>
      </c>
      <c r="O115" s="43" t="str">
        <f>Rankings!B486&amp;" "&amp;Rankings!D486</f>
        <v>16 VL Platz 4</v>
      </c>
      <c r="P115" s="42" t="str">
        <f>Rankings!E486</f>
        <v>HG Königshofen/Sachsenflur</v>
      </c>
      <c r="Q115" s="65" t="s">
        <v>274</v>
      </c>
      <c r="R115" s="40" t="str">
        <f>Rankings!B384&amp;" "&amp;Rankings!D384</f>
        <v>41 LL Platz 3 Rang 3</v>
      </c>
      <c r="S115" s="39" t="str">
        <f>Rankings!E384</f>
        <v>HSG Langenau/Elchingen</v>
      </c>
    </row>
    <row r="116" spans="2:19" ht="12" customHeight="1" x14ac:dyDescent="0.35">
      <c r="B116" s="74"/>
      <c r="C116" s="74"/>
      <c r="D116" s="79" t="s">
        <v>275</v>
      </c>
      <c r="E116" s="43" t="str">
        <f>Rankings!B186&amp;" "&amp;Rankings!D186</f>
        <v>19 VL Platz 5</v>
      </c>
      <c r="F116" s="42" t="str">
        <f>Rankings!E186</f>
        <v>TSV HD-Wieblingen</v>
      </c>
      <c r="G116" s="65" t="s">
        <v>274</v>
      </c>
      <c r="H116" s="40" t="str">
        <f>Rankings!B88&amp;" "&amp;Rankings!D88</f>
        <v>48 LL Platz 4 Rang 1</v>
      </c>
      <c r="I116" s="39" t="str">
        <f>Rankings!E88</f>
        <v>HSG Oberkochen/Königsbronn</v>
      </c>
      <c r="J116" s="29"/>
      <c r="K116" s="30"/>
      <c r="L116" s="74"/>
      <c r="M116" s="74"/>
      <c r="N116" s="79" t="s">
        <v>275</v>
      </c>
      <c r="O116" s="28" t="str">
        <f>Rankings!B541&amp;" "&amp;Rankings!D541</f>
        <v>16 LL Platz 3 Rang 1</v>
      </c>
      <c r="P116" s="27" t="str">
        <f>Rankings!E541</f>
        <v>SF Eintr. Freiburg</v>
      </c>
      <c r="Q116" s="65" t="s">
        <v>274</v>
      </c>
      <c r="R116" s="40" t="str">
        <f>Rankings!B385&amp;" "&amp;Rankings!D385</f>
        <v>42 LL Platz 3 Rang 4</v>
      </c>
      <c r="S116" s="39" t="str">
        <f>Rankings!E385</f>
        <v>HSG Strohgäu</v>
      </c>
    </row>
    <row r="117" spans="2:19" ht="12" customHeight="1" x14ac:dyDescent="0.35">
      <c r="B117" s="74"/>
      <c r="C117" s="74"/>
      <c r="D117" s="79" t="s">
        <v>275</v>
      </c>
      <c r="E117" s="40" t="str">
        <f>Rankings!B89&amp;" "&amp;Rankings!D89</f>
        <v>49 LL Platz 4 Rang 2</v>
      </c>
      <c r="F117" s="39" t="str">
        <f>Rankings!E89</f>
        <v>TSV Köngen</v>
      </c>
      <c r="G117" s="65" t="s">
        <v>274</v>
      </c>
      <c r="H117" s="43" t="str">
        <f>Rankings!B185&amp;" "&amp;Rankings!D185</f>
        <v>18 VL Platz 4</v>
      </c>
      <c r="I117" s="42" t="str">
        <f>Rankings!E185</f>
        <v>HSG Walzbachtal</v>
      </c>
      <c r="J117" s="29"/>
      <c r="K117" s="30"/>
      <c r="L117" s="74"/>
      <c r="M117" s="74"/>
      <c r="N117" s="79" t="s">
        <v>275</v>
      </c>
      <c r="O117" s="40" t="str">
        <f>Rankings!B386&amp;" "&amp;Rankings!D386</f>
        <v>43 LL Platz 4 Rang 1</v>
      </c>
      <c r="P117" s="39" t="str">
        <f>Rankings!E386</f>
        <v>TSG Schnaitheim</v>
      </c>
      <c r="Q117" s="65" t="s">
        <v>274</v>
      </c>
      <c r="R117" s="28" t="str">
        <f>Rankings!B540&amp;" "&amp;Rankings!D540</f>
        <v>15 LL Platz 2 Rang 2</v>
      </c>
      <c r="S117" s="27" t="str">
        <f>Rankings!E540</f>
        <v>SG Ottersweier/Großweier</v>
      </c>
    </row>
    <row r="118" spans="2:19" ht="12" customHeight="1" x14ac:dyDescent="0.35">
      <c r="B118" s="74"/>
      <c r="C118" s="74"/>
      <c r="D118" s="79" t="s">
        <v>275</v>
      </c>
      <c r="E118" s="40" t="str">
        <f>Rankings!B90&amp;" "&amp;Rankings!D90</f>
        <v>50 LL Platz 4 Rang 3</v>
      </c>
      <c r="F118" s="39" t="str">
        <f>Rankings!E90</f>
        <v>HC Winnenden</v>
      </c>
      <c r="G118" s="65" t="s">
        <v>274</v>
      </c>
      <c r="H118" s="28" t="str">
        <f>Rankings!B242&amp;" "&amp;Rankings!D242</f>
        <v>18 LL Platz 2 Rang 2</v>
      </c>
      <c r="I118" s="27" t="str">
        <f>Rankings!E242</f>
        <v>TV Sandweier 2</v>
      </c>
      <c r="J118" s="29"/>
      <c r="K118" s="30"/>
      <c r="L118" s="74"/>
      <c r="M118" s="74"/>
      <c r="N118" s="79" t="s">
        <v>275</v>
      </c>
      <c r="O118" s="40" t="str">
        <f>Rankings!B387&amp;" "&amp;Rankings!D387</f>
        <v>44 LL Platz 4 Rang 2</v>
      </c>
      <c r="P118" s="39" t="str">
        <f>Rankings!E387</f>
        <v>TB Neuffen</v>
      </c>
      <c r="Q118" s="65" t="s">
        <v>274</v>
      </c>
      <c r="R118" s="43" t="str">
        <f>Rankings!B485&amp;" "&amp;Rankings!D485</f>
        <v>15 VL Platz 3</v>
      </c>
      <c r="S118" s="42" t="str">
        <f>Rankings!E485</f>
        <v>Saase3 Leutershausen Handball</v>
      </c>
    </row>
    <row r="119" spans="2:19" ht="12" customHeight="1" x14ac:dyDescent="0.35">
      <c r="B119" s="74"/>
      <c r="C119" s="74"/>
      <c r="D119" s="79" t="s">
        <v>275</v>
      </c>
      <c r="E119" s="40" t="str">
        <f>Rankings!B91&amp;" "&amp;Rankings!D91</f>
        <v>51 LL Platz 4 Rang 4</v>
      </c>
      <c r="F119" s="39" t="str">
        <f>Rankings!E91</f>
        <v>TSV 1866 Weinsberg 2</v>
      </c>
      <c r="G119" s="65" t="s">
        <v>274</v>
      </c>
      <c r="H119" s="28" t="str">
        <f>Rankings!B241&amp;" "&amp;Rankings!D241</f>
        <v>17 LL Platz 2 Rang 1</v>
      </c>
      <c r="I119" s="27" t="str">
        <f>Rankings!E241</f>
        <v>TuS Ringsheim</v>
      </c>
      <c r="J119" s="29"/>
      <c r="K119" s="30"/>
      <c r="L119" s="74"/>
      <c r="M119" s="74"/>
      <c r="N119" s="79" t="s">
        <v>275</v>
      </c>
      <c r="O119" s="40" t="str">
        <f>Rankings!B388&amp;" "&amp;Rankings!D388</f>
        <v>45 LL Platz 4 Rang 3</v>
      </c>
      <c r="P119" s="39" t="str">
        <f>Rankings!E388</f>
        <v>HSG Hohenlohe</v>
      </c>
      <c r="Q119" s="65" t="s">
        <v>274</v>
      </c>
      <c r="R119" s="43" t="str">
        <f>Rankings!B484&amp;" "&amp;Rankings!D484</f>
        <v>14 OL Platz 12</v>
      </c>
      <c r="S119" s="42" t="str">
        <f>Rankings!E484</f>
        <v>KuSG Leimen</v>
      </c>
    </row>
    <row r="120" spans="2:19" ht="12" customHeight="1" x14ac:dyDescent="0.35">
      <c r="B120" s="76"/>
      <c r="C120" s="76"/>
      <c r="D120" s="80" t="s">
        <v>275</v>
      </c>
      <c r="E120" s="69" t="str">
        <f>Rankings!B92&amp;" "&amp;Rankings!D92</f>
        <v>52 LL Platz 5 Rang 1</v>
      </c>
      <c r="F120" s="112" t="str">
        <f>Rankings!E92</f>
        <v>TV Treffelhausen</v>
      </c>
      <c r="G120" s="70" t="s">
        <v>274</v>
      </c>
      <c r="H120" s="81" t="str">
        <f>Rankings!B184&amp;" "&amp;Rankings!D184</f>
        <v>17 VL Platz 3</v>
      </c>
      <c r="I120" s="113" t="str">
        <f>Rankings!E184</f>
        <v>TSV Rintheim</v>
      </c>
      <c r="J120" s="29"/>
      <c r="K120" s="30"/>
      <c r="L120" s="76"/>
      <c r="M120" s="76"/>
      <c r="N120" s="80" t="s">
        <v>275</v>
      </c>
      <c r="O120" s="69" t="str">
        <f>Rankings!B389&amp;" "&amp;Rankings!D389</f>
        <v>46 LL Platz 4 Rang 4</v>
      </c>
      <c r="P120" s="112" t="str">
        <f>Rankings!E389</f>
        <v>HSG Hossingen-Meßstetten</v>
      </c>
      <c r="Q120" s="70" t="s">
        <v>274</v>
      </c>
      <c r="R120" s="56" t="str">
        <f>Rankings!B539&amp;" "&amp;Rankings!D539</f>
        <v>14 LL Platz 2 Rang 1</v>
      </c>
      <c r="S120" s="77" t="str">
        <f>Rankings!E539</f>
        <v>HSG Mimmenhausen/Mühlhofen</v>
      </c>
    </row>
    <row r="121" spans="2:19" ht="5" customHeight="1" x14ac:dyDescent="0.35">
      <c r="B121" s="58"/>
      <c r="C121" s="58"/>
      <c r="D121" s="58"/>
      <c r="E121" s="58"/>
      <c r="F121" s="58"/>
      <c r="G121" s="58"/>
      <c r="H121" s="58"/>
      <c r="I121" s="58"/>
      <c r="J121" s="95"/>
      <c r="K121" s="96"/>
      <c r="L121" s="58"/>
      <c r="M121" s="58"/>
      <c r="N121" s="58"/>
      <c r="O121" s="58"/>
      <c r="P121" s="58"/>
      <c r="Q121" s="58"/>
      <c r="R121" s="58"/>
      <c r="S121" s="58"/>
    </row>
    <row r="122" spans="2:19" ht="5" customHeight="1" x14ac:dyDescent="0.35">
      <c r="B122" s="47"/>
      <c r="C122" s="47"/>
      <c r="D122" s="47"/>
      <c r="E122" s="47"/>
      <c r="F122" s="47"/>
      <c r="G122" s="47"/>
      <c r="H122" s="47"/>
      <c r="I122" s="47"/>
      <c r="J122" s="93"/>
      <c r="K122" s="94"/>
      <c r="L122" s="47"/>
      <c r="M122" s="47"/>
      <c r="N122" s="47"/>
      <c r="O122" s="47"/>
      <c r="P122" s="47"/>
      <c r="Q122" s="47"/>
      <c r="R122" s="47"/>
      <c r="S122" s="47"/>
    </row>
    <row r="123" spans="2:19" ht="12" customHeight="1" x14ac:dyDescent="0.35">
      <c r="B123" s="82" t="s">
        <v>272</v>
      </c>
      <c r="C123" s="83" t="s">
        <v>405</v>
      </c>
      <c r="D123" s="83" t="s">
        <v>271</v>
      </c>
      <c r="E123" s="63" t="str">
        <f t="shared" ref="E123:F130" si="8">E113</f>
        <v>20 VL Platz 6</v>
      </c>
      <c r="F123" s="63" t="str">
        <f t="shared" si="8"/>
        <v>HSG Bruchsal/Untergrombach</v>
      </c>
      <c r="G123" s="62" t="s">
        <v>274</v>
      </c>
      <c r="H123" s="46" t="str">
        <f t="shared" ref="H123:I130" si="9">H113</f>
        <v>45 LL Platz 3 Rang 2</v>
      </c>
      <c r="I123" s="46" t="str">
        <f t="shared" si="9"/>
        <v>HSG Ebersbach/Bünzwangen</v>
      </c>
      <c r="J123" s="29"/>
      <c r="K123" s="30"/>
      <c r="L123" s="82" t="s">
        <v>272</v>
      </c>
      <c r="M123" s="83" t="s">
        <v>405</v>
      </c>
      <c r="N123" s="83" t="s">
        <v>271</v>
      </c>
      <c r="O123" s="61" t="str">
        <f t="shared" ref="O123:P130" si="10">O113</f>
        <v>17 LL Platz 3 Rang 2</v>
      </c>
      <c r="P123" s="61" t="str">
        <f t="shared" si="10"/>
        <v>SG Scutro</v>
      </c>
      <c r="Q123" s="62" t="s">
        <v>274</v>
      </c>
      <c r="R123" s="46" t="str">
        <f t="shared" ref="R123:S130" si="11">R113</f>
        <v>39 LL Platz 3 Rang 1</v>
      </c>
      <c r="S123" s="46" t="str">
        <f t="shared" si="11"/>
        <v>SG Tübingen</v>
      </c>
    </row>
    <row r="124" spans="2:19" ht="12" customHeight="1" x14ac:dyDescent="0.35">
      <c r="B124" s="84"/>
      <c r="C124" s="85" t="s">
        <v>408</v>
      </c>
      <c r="D124" s="84" t="s">
        <v>271</v>
      </c>
      <c r="E124" s="28" t="str">
        <f t="shared" si="8"/>
        <v>20 LL Platz 3 Rang 2</v>
      </c>
      <c r="F124" s="28" t="str">
        <f t="shared" si="8"/>
        <v>HGW Hofweier</v>
      </c>
      <c r="G124" s="65" t="s">
        <v>274</v>
      </c>
      <c r="H124" s="40" t="str">
        <f t="shared" si="9"/>
        <v>46 LL Platz 3 Rang 3</v>
      </c>
      <c r="I124" s="40" t="str">
        <f t="shared" si="9"/>
        <v>TV Mundelsheim</v>
      </c>
      <c r="J124" s="29"/>
      <c r="K124" s="30"/>
      <c r="L124" s="84"/>
      <c r="M124" s="85" t="s">
        <v>408</v>
      </c>
      <c r="N124" s="84" t="s">
        <v>271</v>
      </c>
      <c r="O124" s="43" t="str">
        <f t="shared" si="10"/>
        <v>17 VL Platz 5</v>
      </c>
      <c r="P124" s="43" t="str">
        <f t="shared" si="10"/>
        <v>Rhein-Neckar Löwen</v>
      </c>
      <c r="Q124" s="65" t="s">
        <v>274</v>
      </c>
      <c r="R124" s="40" t="str">
        <f t="shared" si="11"/>
        <v>40 LL Platz 3 Rang 2</v>
      </c>
      <c r="S124" s="40" t="str">
        <f t="shared" si="11"/>
        <v>TV Reichenbach</v>
      </c>
    </row>
    <row r="125" spans="2:19" ht="12" customHeight="1" x14ac:dyDescent="0.35">
      <c r="B125" s="84"/>
      <c r="C125" s="85">
        <v>8</v>
      </c>
      <c r="D125" s="84" t="s">
        <v>271</v>
      </c>
      <c r="E125" s="28" t="str">
        <f t="shared" si="8"/>
        <v>19 LL Platz 3 Rang 1</v>
      </c>
      <c r="F125" s="28" t="str">
        <f t="shared" si="8"/>
        <v>SG Köndringen/Teningen 2</v>
      </c>
      <c r="G125" s="65" t="s">
        <v>274</v>
      </c>
      <c r="H125" s="40" t="str">
        <f t="shared" si="9"/>
        <v>47 LL Platz 3 Rang 4</v>
      </c>
      <c r="I125" s="40" t="str">
        <f t="shared" si="9"/>
        <v>HSG Baar</v>
      </c>
      <c r="J125" s="29"/>
      <c r="K125" s="30"/>
      <c r="L125" s="84"/>
      <c r="M125" s="85">
        <v>8</v>
      </c>
      <c r="N125" s="84" t="s">
        <v>271</v>
      </c>
      <c r="O125" s="43" t="str">
        <f t="shared" si="10"/>
        <v>16 VL Platz 4</v>
      </c>
      <c r="P125" s="43" t="str">
        <f t="shared" si="10"/>
        <v>HG Königshofen/Sachsenflur</v>
      </c>
      <c r="Q125" s="65" t="s">
        <v>274</v>
      </c>
      <c r="R125" s="40" t="str">
        <f t="shared" si="11"/>
        <v>41 LL Platz 3 Rang 3</v>
      </c>
      <c r="S125" s="40" t="str">
        <f t="shared" si="11"/>
        <v>HSG Langenau/Elchingen</v>
      </c>
    </row>
    <row r="126" spans="2:19" ht="12" customHeight="1" x14ac:dyDescent="0.35">
      <c r="B126" s="84"/>
      <c r="C126" s="84"/>
      <c r="D126" s="84" t="s">
        <v>271</v>
      </c>
      <c r="E126" s="43" t="str">
        <f t="shared" si="8"/>
        <v>19 VL Platz 5</v>
      </c>
      <c r="F126" s="43" t="str">
        <f t="shared" si="8"/>
        <v>TSV HD-Wieblingen</v>
      </c>
      <c r="G126" s="65" t="s">
        <v>274</v>
      </c>
      <c r="H126" s="40" t="str">
        <f t="shared" si="9"/>
        <v>48 LL Platz 4 Rang 1</v>
      </c>
      <c r="I126" s="40" t="str">
        <f t="shared" si="9"/>
        <v>HSG Oberkochen/Königsbronn</v>
      </c>
      <c r="J126" s="29"/>
      <c r="K126" s="30"/>
      <c r="L126" s="84"/>
      <c r="M126" s="84"/>
      <c r="N126" s="84" t="s">
        <v>271</v>
      </c>
      <c r="O126" s="28" t="str">
        <f t="shared" si="10"/>
        <v>16 LL Platz 3 Rang 1</v>
      </c>
      <c r="P126" s="28" t="str">
        <f t="shared" si="10"/>
        <v>SF Eintr. Freiburg</v>
      </c>
      <c r="Q126" s="65" t="s">
        <v>274</v>
      </c>
      <c r="R126" s="40" t="str">
        <f t="shared" si="11"/>
        <v>42 LL Platz 3 Rang 4</v>
      </c>
      <c r="S126" s="40" t="str">
        <f t="shared" si="11"/>
        <v>HSG Strohgäu</v>
      </c>
    </row>
    <row r="127" spans="2:19" ht="12" customHeight="1" x14ac:dyDescent="0.35">
      <c r="B127" s="84"/>
      <c r="C127" s="84"/>
      <c r="D127" s="84" t="s">
        <v>271</v>
      </c>
      <c r="E127" s="40" t="str">
        <f t="shared" si="8"/>
        <v>49 LL Platz 4 Rang 2</v>
      </c>
      <c r="F127" s="40" t="str">
        <f t="shared" si="8"/>
        <v>TSV Köngen</v>
      </c>
      <c r="G127" s="65" t="s">
        <v>274</v>
      </c>
      <c r="H127" s="43" t="str">
        <f t="shared" si="9"/>
        <v>18 VL Platz 4</v>
      </c>
      <c r="I127" s="43" t="str">
        <f t="shared" si="9"/>
        <v>HSG Walzbachtal</v>
      </c>
      <c r="J127" s="29"/>
      <c r="K127" s="30"/>
      <c r="L127" s="84"/>
      <c r="M127" s="84"/>
      <c r="N127" s="84" t="s">
        <v>271</v>
      </c>
      <c r="O127" s="40" t="str">
        <f t="shared" si="10"/>
        <v>43 LL Platz 4 Rang 1</v>
      </c>
      <c r="P127" s="40" t="str">
        <f t="shared" si="10"/>
        <v>TSG Schnaitheim</v>
      </c>
      <c r="Q127" s="65" t="s">
        <v>274</v>
      </c>
      <c r="R127" s="28" t="str">
        <f t="shared" si="11"/>
        <v>15 LL Platz 2 Rang 2</v>
      </c>
      <c r="S127" s="28" t="str">
        <f t="shared" si="11"/>
        <v>SG Ottersweier/Großweier</v>
      </c>
    </row>
    <row r="128" spans="2:19" ht="12" customHeight="1" x14ac:dyDescent="0.35">
      <c r="B128" s="84"/>
      <c r="C128" s="84"/>
      <c r="D128" s="84" t="s">
        <v>271</v>
      </c>
      <c r="E128" s="40" t="str">
        <f t="shared" si="8"/>
        <v>50 LL Platz 4 Rang 3</v>
      </c>
      <c r="F128" s="40" t="str">
        <f t="shared" si="8"/>
        <v>HC Winnenden</v>
      </c>
      <c r="G128" s="65" t="s">
        <v>274</v>
      </c>
      <c r="H128" s="28" t="str">
        <f t="shared" si="9"/>
        <v>18 LL Platz 2 Rang 2</v>
      </c>
      <c r="I128" s="28" t="str">
        <f t="shared" si="9"/>
        <v>TV Sandweier 2</v>
      </c>
      <c r="J128" s="29"/>
      <c r="K128" s="30"/>
      <c r="L128" s="84"/>
      <c r="M128" s="84"/>
      <c r="N128" s="84" t="s">
        <v>271</v>
      </c>
      <c r="O128" s="40" t="str">
        <f t="shared" si="10"/>
        <v>44 LL Platz 4 Rang 2</v>
      </c>
      <c r="P128" s="40" t="str">
        <f t="shared" si="10"/>
        <v>TB Neuffen</v>
      </c>
      <c r="Q128" s="65" t="s">
        <v>274</v>
      </c>
      <c r="R128" s="43" t="str">
        <f t="shared" si="11"/>
        <v>15 VL Platz 3</v>
      </c>
      <c r="S128" s="43" t="str">
        <f t="shared" si="11"/>
        <v>Saase3 Leutershausen Handball</v>
      </c>
    </row>
    <row r="129" spans="2:19" ht="12" customHeight="1" x14ac:dyDescent="0.35">
      <c r="B129" s="84"/>
      <c r="C129" s="84"/>
      <c r="D129" s="84" t="s">
        <v>271</v>
      </c>
      <c r="E129" s="40" t="str">
        <f t="shared" si="8"/>
        <v>51 LL Platz 4 Rang 4</v>
      </c>
      <c r="F129" s="40" t="str">
        <f t="shared" si="8"/>
        <v>TSV 1866 Weinsberg 2</v>
      </c>
      <c r="G129" s="65" t="s">
        <v>274</v>
      </c>
      <c r="H129" s="28" t="str">
        <f t="shared" si="9"/>
        <v>17 LL Platz 2 Rang 1</v>
      </c>
      <c r="I129" s="28" t="str">
        <f t="shared" si="9"/>
        <v>TuS Ringsheim</v>
      </c>
      <c r="J129" s="29"/>
      <c r="K129" s="30"/>
      <c r="L129" s="84"/>
      <c r="M129" s="84"/>
      <c r="N129" s="84" t="s">
        <v>271</v>
      </c>
      <c r="O129" s="40" t="str">
        <f t="shared" si="10"/>
        <v>45 LL Platz 4 Rang 3</v>
      </c>
      <c r="P129" s="40" t="str">
        <f t="shared" si="10"/>
        <v>HSG Hohenlohe</v>
      </c>
      <c r="Q129" s="65" t="s">
        <v>274</v>
      </c>
      <c r="R129" s="43" t="str">
        <f t="shared" si="11"/>
        <v>14 OL Platz 12</v>
      </c>
      <c r="S129" s="43" t="str">
        <f t="shared" si="11"/>
        <v>KuSG Leimen</v>
      </c>
    </row>
    <row r="130" spans="2:19" ht="12" customHeight="1" x14ac:dyDescent="0.35">
      <c r="B130" s="84"/>
      <c r="C130" s="86"/>
      <c r="D130" s="86" t="s">
        <v>271</v>
      </c>
      <c r="E130" s="69" t="str">
        <f t="shared" si="8"/>
        <v>52 LL Platz 5 Rang 1</v>
      </c>
      <c r="F130" s="69" t="str">
        <f t="shared" si="8"/>
        <v>TV Treffelhausen</v>
      </c>
      <c r="G130" s="70" t="s">
        <v>274</v>
      </c>
      <c r="H130" s="81" t="str">
        <f t="shared" si="9"/>
        <v>17 VL Platz 3</v>
      </c>
      <c r="I130" s="81" t="str">
        <f t="shared" si="9"/>
        <v>TSV Rintheim</v>
      </c>
      <c r="J130" s="29"/>
      <c r="K130" s="30"/>
      <c r="L130" s="84"/>
      <c r="M130" s="86"/>
      <c r="N130" s="86" t="s">
        <v>271</v>
      </c>
      <c r="O130" s="69" t="str">
        <f t="shared" si="10"/>
        <v>46 LL Platz 4 Rang 4</v>
      </c>
      <c r="P130" s="69" t="str">
        <f t="shared" si="10"/>
        <v>HSG Hossingen-Meßstetten</v>
      </c>
      <c r="Q130" s="70" t="s">
        <v>274</v>
      </c>
      <c r="R130" s="56" t="str">
        <f t="shared" si="11"/>
        <v>14 LL Platz 2 Rang 1</v>
      </c>
      <c r="S130" s="56" t="str">
        <f t="shared" si="11"/>
        <v>HSG Mimmenhausen/Mühlhofen</v>
      </c>
    </row>
    <row r="131" spans="2:19" ht="12" customHeight="1" x14ac:dyDescent="0.35">
      <c r="B131" s="84"/>
      <c r="C131" s="44" t="s">
        <v>0</v>
      </c>
      <c r="D131" s="45">
        <v>53</v>
      </c>
      <c r="E131" s="46" t="str">
        <f>Rankings!D93</f>
        <v>VL Platz 12 Rang 1</v>
      </c>
      <c r="F131" s="44" t="str">
        <f>Rankings!E93</f>
        <v>TSV Asperg</v>
      </c>
      <c r="G131" s="46"/>
      <c r="H131" s="47"/>
      <c r="I131" s="47"/>
      <c r="J131" s="29"/>
      <c r="K131" s="30"/>
      <c r="L131" s="84"/>
      <c r="M131" s="44" t="s">
        <v>0</v>
      </c>
      <c r="N131" s="45">
        <v>47</v>
      </c>
      <c r="O131" s="46" t="str">
        <f>Rankings!D390</f>
        <v>VL Platz 10 Rang 1</v>
      </c>
      <c r="P131" s="44" t="str">
        <f>Rankings!E390</f>
        <v>HSG Winzingen-Wißgoldingen-Donzdorf</v>
      </c>
      <c r="Q131" s="46"/>
      <c r="R131" s="47"/>
      <c r="S131" s="47"/>
    </row>
    <row r="132" spans="2:19" ht="12" customHeight="1" x14ac:dyDescent="0.35">
      <c r="B132" s="84"/>
      <c r="C132" s="41">
        <v>44</v>
      </c>
      <c r="D132" s="49">
        <f>1+D131</f>
        <v>54</v>
      </c>
      <c r="E132" s="40" t="str">
        <f>Rankings!D94</f>
        <v>VL Platz 12 Rang 2</v>
      </c>
      <c r="F132" s="39" t="str">
        <f>Rankings!E94</f>
        <v>HSG Schönbuch</v>
      </c>
      <c r="G132" s="40"/>
      <c r="H132" s="24"/>
      <c r="I132" s="24"/>
      <c r="J132" s="29"/>
      <c r="K132" s="30"/>
      <c r="L132" s="84"/>
      <c r="M132" s="41">
        <v>34</v>
      </c>
      <c r="N132" s="49">
        <f>1+N131</f>
        <v>48</v>
      </c>
      <c r="O132" s="40" t="str">
        <f>Rankings!D391</f>
        <v>LL Platz 5 Rang 1</v>
      </c>
      <c r="P132" s="39" t="str">
        <f>Rankings!E391</f>
        <v>SG Hirsau/Calw/Bad Liebenzell</v>
      </c>
      <c r="Q132" s="40"/>
      <c r="R132" s="24"/>
      <c r="S132" s="24"/>
    </row>
    <row r="133" spans="2:19" ht="12" customHeight="1" x14ac:dyDescent="0.35">
      <c r="B133" s="84"/>
      <c r="C133" s="40"/>
      <c r="D133" s="49">
        <f t="shared" ref="D133:D174" si="12">1+D132</f>
        <v>55</v>
      </c>
      <c r="E133" s="40" t="str">
        <f>Rankings!D95</f>
        <v>LL Platz 5 Rang 2</v>
      </c>
      <c r="F133" s="39" t="str">
        <f>Rankings!E95</f>
        <v>TV Aixheim</v>
      </c>
      <c r="G133" s="40"/>
      <c r="H133" s="24"/>
      <c r="I133" s="24"/>
      <c r="J133" s="29"/>
      <c r="K133" s="30"/>
      <c r="L133" s="84"/>
      <c r="M133" s="40"/>
      <c r="N133" s="49">
        <f t="shared" ref="N133:N164" si="13">1+N132</f>
        <v>49</v>
      </c>
      <c r="O133" s="40" t="str">
        <f>Rankings!D392</f>
        <v>LL Platz 5 Rang 2</v>
      </c>
      <c r="P133" s="39" t="str">
        <f>Rankings!E392</f>
        <v>SV Salamander Kornwestheim 1894 2</v>
      </c>
      <c r="Q133" s="40"/>
      <c r="R133" s="24"/>
      <c r="S133" s="24"/>
    </row>
    <row r="134" spans="2:19" ht="12" customHeight="1" x14ac:dyDescent="0.35">
      <c r="B134" s="84"/>
      <c r="C134" s="40"/>
      <c r="D134" s="49">
        <f t="shared" si="12"/>
        <v>56</v>
      </c>
      <c r="E134" s="40" t="str">
        <f>Rankings!D96</f>
        <v>LL Platz 5 Rang 3</v>
      </c>
      <c r="F134" s="39" t="str">
        <f>Rankings!E96</f>
        <v>TSV Zizishausen</v>
      </c>
      <c r="G134" s="40"/>
      <c r="H134" s="24"/>
      <c r="I134" s="24"/>
      <c r="J134" s="29"/>
      <c r="K134" s="30"/>
      <c r="L134" s="84"/>
      <c r="M134" s="40"/>
      <c r="N134" s="49">
        <f t="shared" si="13"/>
        <v>50</v>
      </c>
      <c r="O134" s="40" t="str">
        <f>Rankings!D393</f>
        <v>LL Platz 5 Rang 3</v>
      </c>
      <c r="P134" s="39" t="str">
        <f>Rankings!E393</f>
        <v>FSG Giengen-Brenz</v>
      </c>
      <c r="Q134" s="40"/>
      <c r="R134" s="24"/>
      <c r="S134" s="24"/>
    </row>
    <row r="135" spans="2:19" ht="12" customHeight="1" x14ac:dyDescent="0.35">
      <c r="B135" s="84"/>
      <c r="C135" s="40"/>
      <c r="D135" s="49">
        <f t="shared" si="12"/>
        <v>57</v>
      </c>
      <c r="E135" s="40" t="str">
        <f>Rankings!D97</f>
        <v>LL Platz 5 Rang 4</v>
      </c>
      <c r="F135" s="39" t="str">
        <f>Rankings!E97</f>
        <v>HC Oppenweiler/Backnang 2</v>
      </c>
      <c r="G135" s="40"/>
      <c r="H135" s="24"/>
      <c r="I135" s="24"/>
      <c r="J135" s="29"/>
      <c r="K135" s="30"/>
      <c r="L135" s="84"/>
      <c r="M135" s="40"/>
      <c r="N135" s="49">
        <f t="shared" si="13"/>
        <v>51</v>
      </c>
      <c r="O135" s="40" t="str">
        <f>Rankings!D394</f>
        <v>LL Platz 5 Rang 4</v>
      </c>
      <c r="P135" s="39" t="str">
        <f>Rankings!E394</f>
        <v>SF Schwaikheim 2</v>
      </c>
      <c r="Q135" s="40"/>
      <c r="R135" s="24"/>
      <c r="S135" s="24"/>
    </row>
    <row r="136" spans="2:19" ht="12" customHeight="1" x14ac:dyDescent="0.35">
      <c r="B136" s="84"/>
      <c r="C136" s="40"/>
      <c r="D136" s="49">
        <f t="shared" si="12"/>
        <v>58</v>
      </c>
      <c r="E136" s="40" t="str">
        <f>Rankings!D98</f>
        <v>LL Platz 6 Rang 1</v>
      </c>
      <c r="F136" s="39" t="str">
        <f>Rankings!E98</f>
        <v>SG Lauterstein 2</v>
      </c>
      <c r="G136" s="40"/>
      <c r="H136" s="24"/>
      <c r="I136" s="24"/>
      <c r="J136" s="29"/>
      <c r="K136" s="30"/>
      <c r="L136" s="84"/>
      <c r="M136" s="40"/>
      <c r="N136" s="49">
        <f t="shared" si="13"/>
        <v>52</v>
      </c>
      <c r="O136" s="40" t="str">
        <f>Rankings!D395</f>
        <v>LL Platz 6 Rang 1</v>
      </c>
      <c r="P136" s="39" t="str">
        <f>Rankings!E395</f>
        <v>HSG Albstadt</v>
      </c>
      <c r="Q136" s="40"/>
      <c r="R136" s="24"/>
      <c r="S136" s="24"/>
    </row>
    <row r="137" spans="2:19" ht="12" customHeight="1" x14ac:dyDescent="0.35">
      <c r="B137" s="84"/>
      <c r="C137" s="40"/>
      <c r="D137" s="49">
        <f t="shared" si="12"/>
        <v>59</v>
      </c>
      <c r="E137" s="40" t="str">
        <f>Rankings!D99</f>
        <v>LL Platz 6 Rang 2</v>
      </c>
      <c r="F137" s="39" t="str">
        <f>Rankings!E99</f>
        <v>TV Bittenfeld 1898 3</v>
      </c>
      <c r="G137" s="40"/>
      <c r="H137" s="24"/>
      <c r="I137" s="24"/>
      <c r="J137" s="29"/>
      <c r="K137" s="30"/>
      <c r="L137" s="84"/>
      <c r="M137" s="40"/>
      <c r="N137" s="49">
        <f t="shared" si="13"/>
        <v>53</v>
      </c>
      <c r="O137" s="40" t="str">
        <f>Rankings!D396</f>
        <v>LL Platz 6 Rang 2</v>
      </c>
      <c r="P137" s="39" t="str">
        <f>Rankings!E396</f>
        <v>SG Lauterstein/Treffelhausen/Böhmenkirch</v>
      </c>
      <c r="Q137" s="40"/>
      <c r="R137" s="24"/>
      <c r="S137" s="24"/>
    </row>
    <row r="138" spans="2:19" ht="12" customHeight="1" x14ac:dyDescent="0.35">
      <c r="B138" s="84"/>
      <c r="C138" s="40"/>
      <c r="D138" s="49">
        <f t="shared" si="12"/>
        <v>60</v>
      </c>
      <c r="E138" s="40" t="str">
        <f>Rankings!D100</f>
        <v>LL Platz 6 Rang 3</v>
      </c>
      <c r="F138" s="39" t="str">
        <f>Rankings!E100</f>
        <v>SV Salamander Kornwestheim 1894 2</v>
      </c>
      <c r="G138" s="40"/>
      <c r="H138" s="24"/>
      <c r="I138" s="24"/>
      <c r="J138" s="29"/>
      <c r="K138" s="30"/>
      <c r="L138" s="84"/>
      <c r="M138" s="40"/>
      <c r="N138" s="49">
        <f t="shared" si="13"/>
        <v>54</v>
      </c>
      <c r="O138" s="40" t="str">
        <f>Rankings!D397</f>
        <v>LL Platz 6 Rang 3</v>
      </c>
      <c r="P138" s="39" t="str">
        <f>Rankings!E397</f>
        <v>TSV Zizishausen</v>
      </c>
      <c r="Q138" s="40"/>
      <c r="R138" s="24"/>
      <c r="S138" s="24"/>
    </row>
    <row r="139" spans="2:19" ht="12" customHeight="1" x14ac:dyDescent="0.35">
      <c r="B139" s="84"/>
      <c r="C139" s="40"/>
      <c r="D139" s="49">
        <f t="shared" si="12"/>
        <v>61</v>
      </c>
      <c r="E139" s="40" t="str">
        <f>Rankings!D101</f>
        <v>LL Platz 6 Rang 4</v>
      </c>
      <c r="F139" s="39" t="str">
        <f>Rankings!E101</f>
        <v>HSG Ermstal</v>
      </c>
      <c r="G139" s="40"/>
      <c r="H139" s="24"/>
      <c r="I139" s="24"/>
      <c r="J139" s="29"/>
      <c r="K139" s="30"/>
      <c r="L139" s="84"/>
      <c r="M139" s="40"/>
      <c r="N139" s="49">
        <f t="shared" si="13"/>
        <v>55</v>
      </c>
      <c r="O139" s="40" t="str">
        <f>Rankings!D398</f>
        <v>LL Platz 6 Rang 4</v>
      </c>
      <c r="P139" s="39" t="str">
        <f>Rankings!E398</f>
        <v>TSV Bönnigheim 2</v>
      </c>
      <c r="Q139" s="40"/>
      <c r="R139" s="24"/>
      <c r="S139" s="24"/>
    </row>
    <row r="140" spans="2:19" ht="12" customHeight="1" x14ac:dyDescent="0.35">
      <c r="B140" s="84"/>
      <c r="C140" s="40"/>
      <c r="D140" s="49">
        <f t="shared" si="12"/>
        <v>62</v>
      </c>
      <c r="E140" s="40" t="str">
        <f>Rankings!D102</f>
        <v>LL Platz 7 Rang 1</v>
      </c>
      <c r="F140" s="39" t="str">
        <f>Rankings!E102</f>
        <v>HSG Fridingen/Mühlheim</v>
      </c>
      <c r="G140" s="40"/>
      <c r="H140" s="24"/>
      <c r="I140" s="24"/>
      <c r="J140" s="29"/>
      <c r="K140" s="30"/>
      <c r="L140" s="84"/>
      <c r="M140" s="40"/>
      <c r="N140" s="49">
        <f t="shared" si="13"/>
        <v>56</v>
      </c>
      <c r="O140" s="40" t="str">
        <f>Rankings!D399</f>
        <v>LL Platz 7 Rang 1</v>
      </c>
      <c r="P140" s="39" t="str">
        <f>Rankings!E399</f>
        <v>HSG Rottweil</v>
      </c>
      <c r="Q140" s="40"/>
      <c r="R140" s="24"/>
      <c r="S140" s="24"/>
    </row>
    <row r="141" spans="2:19" ht="12" customHeight="1" x14ac:dyDescent="0.35">
      <c r="B141" s="84"/>
      <c r="C141" s="40"/>
      <c r="D141" s="49">
        <f t="shared" si="12"/>
        <v>63</v>
      </c>
      <c r="E141" s="40" t="str">
        <f>Rankings!D103</f>
        <v>LL Platz 7 Rang 2</v>
      </c>
      <c r="F141" s="39" t="str">
        <f>Rankings!E103</f>
        <v>SG BBM Bietigheim 3</v>
      </c>
      <c r="G141" s="40"/>
      <c r="H141" s="24"/>
      <c r="I141" s="24"/>
      <c r="J141" s="29"/>
      <c r="K141" s="30"/>
      <c r="L141" s="84"/>
      <c r="M141" s="40"/>
      <c r="N141" s="49">
        <f t="shared" si="13"/>
        <v>57</v>
      </c>
      <c r="O141" s="40" t="str">
        <f>Rankings!D400</f>
        <v>LL Platz 7 Rang 2</v>
      </c>
      <c r="P141" s="39" t="str">
        <f>Rankings!E400</f>
        <v>SG Burlafingen/PSV Ulm</v>
      </c>
      <c r="Q141" s="40"/>
      <c r="R141" s="24"/>
      <c r="S141" s="24"/>
    </row>
    <row r="142" spans="2:19" ht="12" customHeight="1" x14ac:dyDescent="0.35">
      <c r="B142" s="84"/>
      <c r="C142" s="40"/>
      <c r="D142" s="49">
        <f t="shared" si="12"/>
        <v>64</v>
      </c>
      <c r="E142" s="40" t="str">
        <f>Rankings!D104</f>
        <v>LL Platz 7 Rang 3</v>
      </c>
      <c r="F142" s="39" t="str">
        <f>Rankings!E104</f>
        <v>TG Biberach</v>
      </c>
      <c r="G142" s="40"/>
      <c r="H142" s="24"/>
      <c r="I142" s="24"/>
      <c r="J142" s="29"/>
      <c r="K142" s="30"/>
      <c r="L142" s="84"/>
      <c r="M142" s="40"/>
      <c r="N142" s="49">
        <f t="shared" si="13"/>
        <v>58</v>
      </c>
      <c r="O142" s="40" t="str">
        <f>Rankings!D401</f>
        <v>LL Platz 7 Rang 3</v>
      </c>
      <c r="P142" s="39" t="str">
        <f>Rankings!E401</f>
        <v>HSG Cannstatt/Münster/Max-Eyth-See</v>
      </c>
      <c r="Q142" s="40"/>
      <c r="R142" s="24"/>
      <c r="S142" s="24"/>
    </row>
    <row r="143" spans="2:19" ht="12" customHeight="1" x14ac:dyDescent="0.35">
      <c r="B143" s="84"/>
      <c r="C143" s="40"/>
      <c r="D143" s="49">
        <f t="shared" si="12"/>
        <v>65</v>
      </c>
      <c r="E143" s="40" t="str">
        <f>Rankings!D105</f>
        <v>LL Platz 7 Rang 4</v>
      </c>
      <c r="F143" s="39" t="str">
        <f>Rankings!E105</f>
        <v>TSV Heiningen 1892 2</v>
      </c>
      <c r="G143" s="40"/>
      <c r="H143" s="24"/>
      <c r="I143" s="24"/>
      <c r="J143" s="29"/>
      <c r="K143" s="30"/>
      <c r="L143" s="84"/>
      <c r="M143" s="40"/>
      <c r="N143" s="49">
        <f t="shared" si="13"/>
        <v>59</v>
      </c>
      <c r="O143" s="40" t="str">
        <f>Rankings!D402</f>
        <v>LL Platz 7 Rang 4</v>
      </c>
      <c r="P143" s="39" t="str">
        <f>Rankings!E402</f>
        <v>SG Heuchelberg</v>
      </c>
      <c r="Q143" s="40"/>
      <c r="R143" s="24"/>
      <c r="S143" s="24"/>
    </row>
    <row r="144" spans="2:19" ht="12" customHeight="1" x14ac:dyDescent="0.35">
      <c r="B144" s="84"/>
      <c r="C144" s="40"/>
      <c r="D144" s="49">
        <f t="shared" si="12"/>
        <v>66</v>
      </c>
      <c r="E144" s="40" t="str">
        <f>Rankings!D106</f>
        <v>LL Platz 8 Rang 1</v>
      </c>
      <c r="F144" s="39" t="str">
        <f>Rankings!E106</f>
        <v>SG Degmarn-Oedheim</v>
      </c>
      <c r="G144" s="40"/>
      <c r="H144" s="24"/>
      <c r="I144" s="24"/>
      <c r="J144" s="29"/>
      <c r="K144" s="30"/>
      <c r="L144" s="84"/>
      <c r="M144" s="40"/>
      <c r="N144" s="49">
        <f t="shared" si="13"/>
        <v>60</v>
      </c>
      <c r="O144" s="40" t="str">
        <f>Rankings!D403</f>
        <v>LL Platz 8 Rang 1</v>
      </c>
      <c r="P144" s="39" t="str">
        <f>Rankings!E403</f>
        <v>HC Schmiden/Oeffingen 2</v>
      </c>
      <c r="Q144" s="40"/>
      <c r="R144" s="24"/>
      <c r="S144" s="24"/>
    </row>
    <row r="145" spans="2:19" ht="12" customHeight="1" x14ac:dyDescent="0.35">
      <c r="B145" s="84"/>
      <c r="C145" s="40"/>
      <c r="D145" s="49">
        <f t="shared" si="12"/>
        <v>67</v>
      </c>
      <c r="E145" s="40" t="str">
        <f>Rankings!D107</f>
        <v>LL Platz 8 Rang 2</v>
      </c>
      <c r="F145" s="39" t="str">
        <f>Rankings!E107</f>
        <v>SG Weinstadt 2</v>
      </c>
      <c r="G145" s="40"/>
      <c r="H145" s="24"/>
      <c r="I145" s="24"/>
      <c r="J145" s="29"/>
      <c r="K145" s="30"/>
      <c r="L145" s="84"/>
      <c r="M145" s="40"/>
      <c r="N145" s="49">
        <f t="shared" si="13"/>
        <v>61</v>
      </c>
      <c r="O145" s="40" t="str">
        <f>Rankings!D404</f>
        <v>LL Platz 8 Rang 2</v>
      </c>
      <c r="P145" s="39" t="str">
        <f>Rankings!E404</f>
        <v>HT Uhingen-Holzhausen</v>
      </c>
      <c r="Q145" s="40"/>
      <c r="R145" s="24"/>
      <c r="S145" s="24"/>
    </row>
    <row r="146" spans="2:19" ht="12" customHeight="1" x14ac:dyDescent="0.35">
      <c r="B146" s="84"/>
      <c r="C146" s="40"/>
      <c r="D146" s="49">
        <f t="shared" si="12"/>
        <v>68</v>
      </c>
      <c r="E146" s="40" t="str">
        <f>Rankings!D108</f>
        <v>LL Platz 8 Rang 3</v>
      </c>
      <c r="F146" s="39" t="str">
        <f>Rankings!E108</f>
        <v>SC Vöhringen</v>
      </c>
      <c r="G146" s="40"/>
      <c r="H146" s="24"/>
      <c r="I146" s="24"/>
      <c r="J146" s="29"/>
      <c r="K146" s="30"/>
      <c r="L146" s="84"/>
      <c r="M146" s="40"/>
      <c r="N146" s="49">
        <f t="shared" si="13"/>
        <v>62</v>
      </c>
      <c r="O146" s="40" t="str">
        <f>Rankings!D405</f>
        <v>LL Platz 8 Rang 3</v>
      </c>
      <c r="P146" s="39" t="str">
        <f>Rankings!E405</f>
        <v>SC Vöhringen</v>
      </c>
      <c r="Q146" s="40"/>
      <c r="R146" s="24"/>
      <c r="S146" s="24"/>
    </row>
    <row r="147" spans="2:19" ht="12" customHeight="1" x14ac:dyDescent="0.35">
      <c r="B147" s="84"/>
      <c r="C147" s="40"/>
      <c r="D147" s="49">
        <f t="shared" si="12"/>
        <v>69</v>
      </c>
      <c r="E147" s="40" t="str">
        <f>Rankings!D109</f>
        <v>LL Platz 8 Rang 4</v>
      </c>
      <c r="F147" s="39" t="str">
        <f>Rankings!E109</f>
        <v>EK Bernhausen</v>
      </c>
      <c r="G147" s="40"/>
      <c r="H147" s="24"/>
      <c r="I147" s="24"/>
      <c r="J147" s="29"/>
      <c r="K147" s="30"/>
      <c r="L147" s="84"/>
      <c r="M147" s="40"/>
      <c r="N147" s="49">
        <f t="shared" si="13"/>
        <v>63</v>
      </c>
      <c r="O147" s="40" t="str">
        <f>Rankings!D406</f>
        <v>LL Platz 8 Rang 4</v>
      </c>
      <c r="P147" s="39" t="str">
        <f>Rankings!E406</f>
        <v>HC Oppenweiler/Backnang 2</v>
      </c>
      <c r="Q147" s="40"/>
      <c r="R147" s="24"/>
      <c r="S147" s="24"/>
    </row>
    <row r="148" spans="2:19" ht="12" customHeight="1" x14ac:dyDescent="0.35">
      <c r="B148" s="84"/>
      <c r="C148" s="40"/>
      <c r="D148" s="49">
        <f t="shared" si="12"/>
        <v>70</v>
      </c>
      <c r="E148" s="40" t="str">
        <f>Rankings!D110</f>
        <v>BOL Platz 1 Rang 1</v>
      </c>
      <c r="F148" s="39" t="str">
        <f>Rankings!E110</f>
        <v>TSV Neuhausen/F. 1898 2</v>
      </c>
      <c r="G148" s="40"/>
      <c r="H148" s="24"/>
      <c r="I148" s="24"/>
      <c r="J148" s="29"/>
      <c r="K148" s="30"/>
      <c r="L148" s="84"/>
      <c r="M148" s="40"/>
      <c r="N148" s="49">
        <f t="shared" si="13"/>
        <v>64</v>
      </c>
      <c r="O148" s="40" t="str">
        <f>Rankings!D407</f>
        <v>BOL Platz 1 Rang 1</v>
      </c>
      <c r="P148" s="39" t="str">
        <f>Rankings!E407</f>
        <v>FSG Altenstadt/Geislingen</v>
      </c>
      <c r="Q148" s="40"/>
      <c r="R148" s="24"/>
      <c r="S148" s="24"/>
    </row>
    <row r="149" spans="2:19" ht="12" customHeight="1" x14ac:dyDescent="0.35">
      <c r="B149" s="84"/>
      <c r="C149" s="40"/>
      <c r="D149" s="49">
        <f t="shared" si="12"/>
        <v>71</v>
      </c>
      <c r="E149" s="40" t="str">
        <f>Rankings!D111</f>
        <v>BOL Platz 1 Rang 2</v>
      </c>
      <c r="F149" s="39" t="str">
        <f>Rankings!E111</f>
        <v>HSG Lauffen-Neipperg</v>
      </c>
      <c r="G149" s="40"/>
      <c r="H149" s="24"/>
      <c r="I149" s="24"/>
      <c r="J149" s="29"/>
      <c r="K149" s="30"/>
      <c r="L149" s="84"/>
      <c r="M149" s="40"/>
      <c r="N149" s="49">
        <f t="shared" si="13"/>
        <v>65</v>
      </c>
      <c r="O149" s="40" t="str">
        <f>Rankings!D408</f>
        <v>BOL Platz 1 Rang 2</v>
      </c>
      <c r="P149" s="39" t="str">
        <f>Rankings!E408</f>
        <v>TV Spaichingen</v>
      </c>
      <c r="Q149" s="40"/>
      <c r="R149" s="24"/>
      <c r="S149" s="24"/>
    </row>
    <row r="150" spans="2:19" ht="12" customHeight="1" x14ac:dyDescent="0.35">
      <c r="B150" s="84"/>
      <c r="C150" s="40"/>
      <c r="D150" s="49">
        <f t="shared" si="12"/>
        <v>72</v>
      </c>
      <c r="E150" s="40" t="str">
        <f>Rankings!D112</f>
        <v>BOL Platz 1 Rang 3</v>
      </c>
      <c r="F150" s="39" t="str">
        <f>Rankings!E112</f>
        <v>TV Weilstetten 2</v>
      </c>
      <c r="G150" s="40"/>
      <c r="H150" s="24"/>
      <c r="I150" s="24"/>
      <c r="J150" s="29"/>
      <c r="K150" s="30"/>
      <c r="L150" s="84"/>
      <c r="M150" s="40"/>
      <c r="N150" s="49">
        <f t="shared" si="13"/>
        <v>66</v>
      </c>
      <c r="O150" s="40" t="str">
        <f>Rankings!D409</f>
        <v>BOL Platz 1 Rang 3</v>
      </c>
      <c r="P150" s="39" t="str">
        <f>Rankings!E409</f>
        <v>TV 1861 Rottenburg</v>
      </c>
      <c r="Q150" s="40"/>
      <c r="R150" s="24"/>
      <c r="S150" s="24"/>
    </row>
    <row r="151" spans="2:19" ht="12" customHeight="1" x14ac:dyDescent="0.35">
      <c r="B151" s="84"/>
      <c r="C151" s="40"/>
      <c r="D151" s="49">
        <f t="shared" si="12"/>
        <v>73</v>
      </c>
      <c r="E151" s="40" t="str">
        <f>Rankings!D113</f>
        <v>BOL Platz 1 Rang 4</v>
      </c>
      <c r="F151" s="39" t="str">
        <f>Rankings!E113</f>
        <v>TV Steinheim/A.</v>
      </c>
      <c r="G151" s="40"/>
      <c r="H151" s="24"/>
      <c r="I151" s="24"/>
      <c r="J151" s="29"/>
      <c r="K151" s="30"/>
      <c r="L151" s="84"/>
      <c r="M151" s="40"/>
      <c r="N151" s="49">
        <f t="shared" si="13"/>
        <v>67</v>
      </c>
      <c r="O151" s="40" t="str">
        <f>Rankings!D410</f>
        <v>BOL Platz 1 Rang 4</v>
      </c>
      <c r="P151" s="39" t="str">
        <f>Rankings!E410</f>
        <v>HC Winnenden</v>
      </c>
      <c r="Q151" s="40"/>
      <c r="R151" s="24"/>
      <c r="S151" s="24"/>
    </row>
    <row r="152" spans="2:19" ht="12" customHeight="1" x14ac:dyDescent="0.35">
      <c r="B152" s="84"/>
      <c r="C152" s="40"/>
      <c r="D152" s="49">
        <f t="shared" si="12"/>
        <v>74</v>
      </c>
      <c r="E152" s="40" t="str">
        <f>Rankings!D114</f>
        <v>BOL Platz 1 Rang 5</v>
      </c>
      <c r="F152" s="39" t="str">
        <f>Rankings!E114</f>
        <v>TV 1893 Neuhausen/E. 2</v>
      </c>
      <c r="G152" s="40"/>
      <c r="H152" s="24"/>
      <c r="I152" s="24"/>
      <c r="J152" s="29"/>
      <c r="K152" s="30"/>
      <c r="L152" s="84"/>
      <c r="M152" s="40"/>
      <c r="N152" s="49">
        <f t="shared" si="13"/>
        <v>68</v>
      </c>
      <c r="O152" s="40" t="str">
        <f>Rankings!D411</f>
        <v>BOL Platz 1 Rang 5</v>
      </c>
      <c r="P152" s="39" t="str">
        <f>Rankings!E411</f>
        <v>TSV Weilheim</v>
      </c>
      <c r="Q152" s="40"/>
      <c r="R152" s="24"/>
      <c r="S152" s="24"/>
    </row>
    <row r="153" spans="2:19" ht="12" customHeight="1" x14ac:dyDescent="0.35">
      <c r="B153" s="84"/>
      <c r="C153" s="40"/>
      <c r="D153" s="49">
        <f t="shared" si="12"/>
        <v>75</v>
      </c>
      <c r="E153" s="40" t="str">
        <f>Rankings!D115</f>
        <v>BOL Platz 1 Rang 6</v>
      </c>
      <c r="F153" s="39" t="str">
        <f>Rankings!E115</f>
        <v>TSF Ditzingen 2</v>
      </c>
      <c r="G153" s="40"/>
      <c r="H153" s="24"/>
      <c r="I153" s="24"/>
      <c r="J153" s="29"/>
      <c r="K153" s="30"/>
      <c r="L153" s="84"/>
      <c r="M153" s="40"/>
      <c r="N153" s="49">
        <f t="shared" si="13"/>
        <v>69</v>
      </c>
      <c r="O153" s="40" t="str">
        <f>Rankings!D412</f>
        <v>BOL Platz 1 Rang 6</v>
      </c>
      <c r="P153" s="39" t="str">
        <f>Rankings!E412</f>
        <v>HSG Odenwald-Bauland</v>
      </c>
      <c r="Q153" s="40"/>
      <c r="R153" s="24"/>
      <c r="S153" s="24"/>
    </row>
    <row r="154" spans="2:19" ht="12" customHeight="1" x14ac:dyDescent="0.35">
      <c r="B154" s="84"/>
      <c r="C154" s="40"/>
      <c r="D154" s="49">
        <f t="shared" si="12"/>
        <v>76</v>
      </c>
      <c r="E154" s="40" t="str">
        <f>Rankings!D116</f>
        <v>BOL Platz 1 Rang 7</v>
      </c>
      <c r="F154" s="39" t="str">
        <f>Rankings!E116</f>
        <v>MTG Wangen 2</v>
      </c>
      <c r="G154" s="40"/>
      <c r="H154" s="24"/>
      <c r="I154" s="24"/>
      <c r="J154" s="29"/>
      <c r="K154" s="30"/>
      <c r="L154" s="84"/>
      <c r="M154" s="40"/>
      <c r="N154" s="49">
        <f t="shared" si="13"/>
        <v>70</v>
      </c>
      <c r="O154" s="40" t="str">
        <f>Rankings!D413</f>
        <v>BOL Platz 1 Rang 7</v>
      </c>
      <c r="P154" s="39" t="str">
        <f>Rankings!E413</f>
        <v>HC Lustenau</v>
      </c>
      <c r="Q154" s="40"/>
      <c r="R154" s="24"/>
      <c r="S154" s="24"/>
    </row>
    <row r="155" spans="2:19" ht="12" customHeight="1" x14ac:dyDescent="0.35">
      <c r="B155" s="84"/>
      <c r="C155" s="40"/>
      <c r="D155" s="49">
        <f t="shared" si="12"/>
        <v>77</v>
      </c>
      <c r="E155" s="40" t="str">
        <f>Rankings!D117</f>
        <v>BOL Platz 1 Rang 8</v>
      </c>
      <c r="F155" s="39" t="str">
        <f>Rankings!E117</f>
        <v>MTV Stuttgart</v>
      </c>
      <c r="G155" s="40"/>
      <c r="H155" s="24"/>
      <c r="I155" s="24"/>
      <c r="J155" s="29"/>
      <c r="K155" s="30"/>
      <c r="L155" s="84"/>
      <c r="M155" s="40"/>
      <c r="N155" s="49">
        <f t="shared" si="13"/>
        <v>71</v>
      </c>
      <c r="O155" s="40" t="str">
        <f>Rankings!D414</f>
        <v>BOL Platz 1 Rang 8</v>
      </c>
      <c r="P155" s="39" t="str">
        <f>Rankings!E414</f>
        <v>HSG Marbach-Rielingshausen</v>
      </c>
      <c r="Q155" s="40"/>
      <c r="R155" s="24"/>
      <c r="S155" s="24"/>
    </row>
    <row r="156" spans="2:19" ht="12" customHeight="1" x14ac:dyDescent="0.35">
      <c r="B156" s="84"/>
      <c r="C156" s="40"/>
      <c r="D156" s="49">
        <f t="shared" si="12"/>
        <v>78</v>
      </c>
      <c r="E156" s="40" t="str">
        <f>Rankings!D118</f>
        <v>BOL Platz 2 Rang 1</v>
      </c>
      <c r="F156" s="39" t="str">
        <f>Rankings!E118</f>
        <v>HSG Owen-Lenningen</v>
      </c>
      <c r="G156" s="40"/>
      <c r="H156" s="24"/>
      <c r="I156" s="24"/>
      <c r="J156" s="29"/>
      <c r="K156" s="30"/>
      <c r="L156" s="84"/>
      <c r="M156" s="40"/>
      <c r="N156" s="49">
        <f t="shared" si="13"/>
        <v>72</v>
      </c>
      <c r="O156" s="40" t="str">
        <f>Rankings!D415</f>
        <v>BOL Platz 2 Rang 1</v>
      </c>
      <c r="P156" s="39" t="str">
        <f>Rankings!E415</f>
        <v>HSG Leinfelden-Echterdingen 2</v>
      </c>
      <c r="Q156" s="40"/>
      <c r="R156" s="24"/>
      <c r="S156" s="24"/>
    </row>
    <row r="157" spans="2:19" ht="12" customHeight="1" x14ac:dyDescent="0.35">
      <c r="B157" s="84"/>
      <c r="C157" s="40"/>
      <c r="D157" s="49">
        <f t="shared" si="12"/>
        <v>79</v>
      </c>
      <c r="E157" s="40" t="str">
        <f>Rankings!D119</f>
        <v>BOL Platz 2 Rang 2</v>
      </c>
      <c r="F157" s="39" t="str">
        <f>Rankings!E119</f>
        <v>SG Dunningen/Schramberg</v>
      </c>
      <c r="G157" s="40"/>
      <c r="H157" s="24"/>
      <c r="I157" s="24"/>
      <c r="J157" s="29"/>
      <c r="K157" s="30"/>
      <c r="L157" s="84"/>
      <c r="M157" s="40"/>
      <c r="N157" s="49">
        <f t="shared" si="13"/>
        <v>73</v>
      </c>
      <c r="O157" s="40" t="str">
        <f>Rankings!D416</f>
        <v>BOL Platz 2 Rang 2</v>
      </c>
      <c r="P157" s="39" t="str">
        <f>Rankings!E416</f>
        <v>Alpla HC Hard</v>
      </c>
      <c r="Q157" s="40"/>
      <c r="R157" s="24"/>
      <c r="S157" s="24"/>
    </row>
    <row r="158" spans="2:19" ht="12" customHeight="1" x14ac:dyDescent="0.35">
      <c r="B158" s="84"/>
      <c r="C158" s="40"/>
      <c r="D158" s="49">
        <f t="shared" si="12"/>
        <v>80</v>
      </c>
      <c r="E158" s="40" t="str">
        <f>Rankings!D120</f>
        <v>BOL Platz 2 Rang 3</v>
      </c>
      <c r="F158" s="39" t="str">
        <f>Rankings!E120</f>
        <v>HSG Böblingen/Sindelfingen 2</v>
      </c>
      <c r="G158" s="40"/>
      <c r="H158" s="24"/>
      <c r="I158" s="24"/>
      <c r="J158" s="29"/>
      <c r="K158" s="30"/>
      <c r="L158" s="84"/>
      <c r="M158" s="40"/>
      <c r="N158" s="49">
        <f t="shared" si="13"/>
        <v>74</v>
      </c>
      <c r="O158" s="40" t="str">
        <f>Rankings!D417</f>
        <v>BOL Platz 2 Rang 3</v>
      </c>
      <c r="P158" s="39" t="str">
        <f>Rankings!E417</f>
        <v>SV Leonberg/Eltingen 2</v>
      </c>
      <c r="Q158" s="40"/>
      <c r="R158" s="24"/>
      <c r="S158" s="24"/>
    </row>
    <row r="159" spans="2:19" ht="12" customHeight="1" x14ac:dyDescent="0.35">
      <c r="B159" s="84"/>
      <c r="C159" s="40"/>
      <c r="D159" s="49">
        <f t="shared" si="12"/>
        <v>81</v>
      </c>
      <c r="E159" s="40" t="str">
        <f>Rankings!D121</f>
        <v>BOL Platz 2 Rang 4</v>
      </c>
      <c r="F159" s="39" t="str">
        <f>Rankings!E121</f>
        <v>TSG Schnaitheim</v>
      </c>
      <c r="G159" s="40"/>
      <c r="H159" s="24"/>
      <c r="I159" s="24"/>
      <c r="J159" s="29"/>
      <c r="K159" s="30"/>
      <c r="L159" s="84"/>
      <c r="M159" s="40"/>
      <c r="N159" s="49">
        <f t="shared" si="13"/>
        <v>75</v>
      </c>
      <c r="O159" s="40" t="str">
        <f>Rankings!D418</f>
        <v>BOL Platz 2 Rang 4</v>
      </c>
      <c r="P159" s="39" t="str">
        <f>Rankings!E418</f>
        <v>HB Ludwigsburg 2</v>
      </c>
      <c r="Q159" s="40"/>
      <c r="R159" s="24"/>
      <c r="S159" s="24"/>
    </row>
    <row r="160" spans="2:19" ht="12" customHeight="1" x14ac:dyDescent="0.35">
      <c r="B160" s="84"/>
      <c r="C160" s="40"/>
      <c r="D160" s="49">
        <f t="shared" si="12"/>
        <v>82</v>
      </c>
      <c r="E160" s="40" t="str">
        <f>Rankings!D122</f>
        <v>BOL Platz 2 Rang 5</v>
      </c>
      <c r="F160" s="39" t="str">
        <f>Rankings!E122</f>
        <v>HSG Hohenlohe</v>
      </c>
      <c r="G160" s="40"/>
      <c r="H160" s="24"/>
      <c r="I160" s="24"/>
      <c r="J160" s="29"/>
      <c r="K160" s="30"/>
      <c r="L160" s="84"/>
      <c r="M160" s="40"/>
      <c r="N160" s="49">
        <f t="shared" si="13"/>
        <v>76</v>
      </c>
      <c r="O160" s="40" t="str">
        <f>Rankings!D419</f>
        <v>BOL Platz 2 Rang 5</v>
      </c>
      <c r="P160" s="39" t="str">
        <f>Rankings!E419</f>
        <v>TSV Heiningen 1892 2</v>
      </c>
      <c r="Q160" s="40"/>
      <c r="R160" s="24"/>
      <c r="S160" s="24"/>
    </row>
    <row r="161" spans="2:19" ht="12" customHeight="1" x14ac:dyDescent="0.35">
      <c r="B161" s="84"/>
      <c r="C161" s="40"/>
      <c r="D161" s="49">
        <f t="shared" si="12"/>
        <v>83</v>
      </c>
      <c r="E161" s="40" t="str">
        <f>Rankings!D123</f>
        <v>BOL Platz 2 Rang 6</v>
      </c>
      <c r="F161" s="39" t="str">
        <f>Rankings!E123</f>
        <v>CVJM Möglingen</v>
      </c>
      <c r="G161" s="40"/>
      <c r="H161" s="24"/>
      <c r="I161" s="24"/>
      <c r="J161" s="29"/>
      <c r="K161" s="30"/>
      <c r="L161" s="84"/>
      <c r="M161" s="40"/>
      <c r="N161" s="49">
        <f t="shared" si="13"/>
        <v>77</v>
      </c>
      <c r="O161" s="40" t="str">
        <f>Rankings!D420</f>
        <v>BOL Platz 2 Rang 6</v>
      </c>
      <c r="P161" s="39" t="str">
        <f>Rankings!E420</f>
        <v>SG Dunningen/Schramberg</v>
      </c>
      <c r="Q161" s="40"/>
      <c r="R161" s="24"/>
      <c r="S161" s="24"/>
    </row>
    <row r="162" spans="2:19" ht="12" customHeight="1" x14ac:dyDescent="0.35">
      <c r="B162" s="84"/>
      <c r="C162" s="40"/>
      <c r="D162" s="49">
        <f t="shared" si="12"/>
        <v>84</v>
      </c>
      <c r="E162" s="40" t="str">
        <f>Rankings!D124</f>
        <v>BOL Platz 2 Rang 7</v>
      </c>
      <c r="F162" s="39" t="str">
        <f>Rankings!E124</f>
        <v>HC Lustenau</v>
      </c>
      <c r="G162" s="40"/>
      <c r="H162" s="24"/>
      <c r="I162" s="24"/>
      <c r="J162" s="29"/>
      <c r="K162" s="30"/>
      <c r="L162" s="84"/>
      <c r="M162" s="40"/>
      <c r="N162" s="49">
        <f t="shared" si="13"/>
        <v>78</v>
      </c>
      <c r="O162" s="40" t="str">
        <f>Rankings!D421</f>
        <v>BOL Platz 2 Rang 7</v>
      </c>
      <c r="P162" s="39" t="str">
        <f>Rankings!E421</f>
        <v>SG Weinstadt 2</v>
      </c>
      <c r="Q162" s="40"/>
      <c r="R162" s="24"/>
      <c r="S162" s="24"/>
    </row>
    <row r="163" spans="2:19" ht="12" customHeight="1" x14ac:dyDescent="0.35">
      <c r="B163" s="84"/>
      <c r="C163" s="40"/>
      <c r="D163" s="49">
        <f t="shared" si="12"/>
        <v>85</v>
      </c>
      <c r="E163" s="40" t="str">
        <f>Rankings!D125</f>
        <v>BOL Platz 2 Rang 8</v>
      </c>
      <c r="F163" s="39" t="str">
        <f>Rankings!E125</f>
        <v>TV Stetten</v>
      </c>
      <c r="G163" s="40"/>
      <c r="H163" s="24"/>
      <c r="I163" s="24"/>
      <c r="J163" s="29"/>
      <c r="K163" s="30"/>
      <c r="L163" s="84"/>
      <c r="M163" s="40"/>
      <c r="N163" s="49">
        <f t="shared" si="13"/>
        <v>79</v>
      </c>
      <c r="O163" s="40" t="str">
        <f>Rankings!D422</f>
        <v>BOL Platz 2 Rang 8</v>
      </c>
      <c r="P163" s="39" t="str">
        <f>Rankings!E422</f>
        <v>HSG Heilbronn 2</v>
      </c>
      <c r="Q163" s="40"/>
      <c r="R163" s="24"/>
      <c r="S163" s="24"/>
    </row>
    <row r="164" spans="2:19" ht="12" customHeight="1" x14ac:dyDescent="0.35">
      <c r="B164" s="84"/>
      <c r="C164" s="40"/>
      <c r="D164" s="49">
        <f t="shared" si="12"/>
        <v>86</v>
      </c>
      <c r="E164" s="40" t="str">
        <f>Rankings!D126</f>
        <v>BOL Platz 3 Rang 1</v>
      </c>
      <c r="F164" s="39" t="str">
        <f>Rankings!E126</f>
        <v>HK Ostdorf/Geislingen</v>
      </c>
      <c r="G164" s="40"/>
      <c r="H164" s="24"/>
      <c r="I164" s="24"/>
      <c r="J164" s="29"/>
      <c r="K164" s="30"/>
      <c r="L164" s="84"/>
      <c r="M164" s="40"/>
      <c r="N164" s="49">
        <f t="shared" si="13"/>
        <v>80</v>
      </c>
      <c r="O164" s="40" t="str">
        <f>Rankings!D423</f>
        <v>BOL Platz 3 Rang 1</v>
      </c>
      <c r="P164" s="39" t="str">
        <f>Rankings!E423</f>
        <v>HC Wernau</v>
      </c>
      <c r="Q164" s="40"/>
      <c r="R164" s="24"/>
      <c r="S164" s="24"/>
    </row>
    <row r="165" spans="2:19" ht="12" customHeight="1" x14ac:dyDescent="0.35">
      <c r="B165" s="84"/>
      <c r="C165" s="40"/>
      <c r="D165" s="49">
        <f t="shared" si="12"/>
        <v>87</v>
      </c>
      <c r="E165" s="40" t="str">
        <f>Rankings!D127</f>
        <v>BOL Platz 3 Rang 2</v>
      </c>
      <c r="F165" s="39" t="str">
        <f>Rankings!E127</f>
        <v>HT Uhingen-Holzhausen</v>
      </c>
      <c r="G165" s="40"/>
      <c r="H165" s="24"/>
      <c r="I165" s="24"/>
      <c r="J165" s="29"/>
      <c r="K165" s="30"/>
      <c r="L165" s="84"/>
      <c r="M165" s="40"/>
      <c r="N165" s="49"/>
      <c r="O165" s="40"/>
      <c r="P165" s="40"/>
      <c r="Q165" s="40"/>
      <c r="R165" s="24"/>
      <c r="S165" s="24"/>
    </row>
    <row r="166" spans="2:19" ht="12" customHeight="1" x14ac:dyDescent="0.35">
      <c r="B166" s="84"/>
      <c r="C166" s="40"/>
      <c r="D166" s="49">
        <f t="shared" si="12"/>
        <v>88</v>
      </c>
      <c r="E166" s="40" t="str">
        <f>Rankings!D128</f>
        <v>BOL Platz 3 Rang 3</v>
      </c>
      <c r="F166" s="39" t="str">
        <f>Rankings!E128</f>
        <v>TV Weingarten Handball</v>
      </c>
      <c r="G166" s="40"/>
      <c r="H166" s="24"/>
      <c r="I166" s="24"/>
      <c r="J166" s="29"/>
      <c r="K166" s="30"/>
      <c r="L166" s="84"/>
      <c r="M166" s="40"/>
      <c r="N166" s="49"/>
      <c r="O166" s="40"/>
      <c r="P166" s="40"/>
      <c r="Q166" s="40"/>
      <c r="R166" s="24"/>
      <c r="S166" s="24"/>
    </row>
    <row r="167" spans="2:19" ht="12" customHeight="1" x14ac:dyDescent="0.35">
      <c r="B167" s="84"/>
      <c r="C167" s="40"/>
      <c r="D167" s="49">
        <f t="shared" si="12"/>
        <v>89</v>
      </c>
      <c r="E167" s="40" t="str">
        <f>Rankings!D129</f>
        <v>BOL Platz 3 Rang 4</v>
      </c>
      <c r="F167" s="39" t="str">
        <f>Rankings!E129</f>
        <v>Kuchen-Gingen-Süssen Handball</v>
      </c>
      <c r="G167" s="40"/>
      <c r="H167" s="24"/>
      <c r="I167" s="24"/>
      <c r="J167" s="29"/>
      <c r="K167" s="30"/>
      <c r="L167" s="84"/>
      <c r="M167" s="40"/>
      <c r="N167" s="49"/>
      <c r="O167" s="40"/>
      <c r="P167" s="40"/>
      <c r="Q167" s="40"/>
      <c r="R167" s="24"/>
      <c r="S167" s="24"/>
    </row>
    <row r="168" spans="2:19" ht="12" customHeight="1" x14ac:dyDescent="0.35">
      <c r="B168" s="84"/>
      <c r="C168" s="40"/>
      <c r="D168" s="49">
        <f t="shared" si="12"/>
        <v>90</v>
      </c>
      <c r="E168" s="40" t="str">
        <f>Rankings!D130</f>
        <v>BOL Platz 3 Rang 5</v>
      </c>
      <c r="F168" s="39" t="str">
        <f>Rankings!E130</f>
        <v>SV Remshalden 2</v>
      </c>
      <c r="G168" s="40"/>
      <c r="H168" s="24"/>
      <c r="I168" s="24"/>
      <c r="J168" s="29"/>
      <c r="K168" s="30"/>
      <c r="L168" s="84"/>
      <c r="M168" s="40"/>
      <c r="N168" s="49"/>
      <c r="O168" s="40"/>
      <c r="P168" s="40"/>
      <c r="Q168" s="40"/>
      <c r="R168" s="24"/>
      <c r="S168" s="24"/>
    </row>
    <row r="169" spans="2:19" ht="12" customHeight="1" x14ac:dyDescent="0.35">
      <c r="B169" s="84"/>
      <c r="C169" s="40"/>
      <c r="D169" s="49">
        <f t="shared" si="12"/>
        <v>91</v>
      </c>
      <c r="E169" s="40" t="str">
        <f>Rankings!D131</f>
        <v>BOL Platz 3 Rang 6</v>
      </c>
      <c r="F169" s="39" t="str">
        <f>Rankings!E131</f>
        <v>SG Tübingen</v>
      </c>
      <c r="G169" s="40"/>
      <c r="H169" s="24"/>
      <c r="I169" s="24"/>
      <c r="J169" s="29"/>
      <c r="K169" s="30"/>
      <c r="L169" s="84"/>
      <c r="M169" s="40"/>
      <c r="N169" s="49"/>
      <c r="O169" s="40"/>
      <c r="P169" s="40"/>
      <c r="Q169" s="40"/>
      <c r="R169" s="24"/>
      <c r="S169" s="24"/>
    </row>
    <row r="170" spans="2:19" ht="12" customHeight="1" x14ac:dyDescent="0.35">
      <c r="B170" s="84"/>
      <c r="C170" s="40"/>
      <c r="D170" s="49">
        <f t="shared" si="12"/>
        <v>92</v>
      </c>
      <c r="E170" s="40" t="str">
        <f>Rankings!D132</f>
        <v>BOL Platz 3 Rang 7</v>
      </c>
      <c r="F170" s="39" t="str">
        <f>Rankings!E132</f>
        <v>SG Schozach-Bottwartal 2</v>
      </c>
      <c r="G170" s="40"/>
      <c r="H170" s="24"/>
      <c r="I170" s="24"/>
      <c r="J170" s="29"/>
      <c r="K170" s="30"/>
      <c r="L170" s="84"/>
      <c r="M170" s="40"/>
      <c r="N170" s="49"/>
      <c r="O170" s="40"/>
      <c r="P170" s="40"/>
      <c r="Q170" s="40"/>
      <c r="R170" s="24"/>
      <c r="S170" s="24"/>
    </row>
    <row r="171" spans="2:19" ht="12" customHeight="1" x14ac:dyDescent="0.35">
      <c r="B171" s="84"/>
      <c r="C171" s="40"/>
      <c r="D171" s="49">
        <f t="shared" si="12"/>
        <v>93</v>
      </c>
      <c r="E171" s="40" t="str">
        <f>Rankings!D133</f>
        <v>BOL Platz 4 Rang 1</v>
      </c>
      <c r="F171" s="114" t="str">
        <f>Rankings!E133</f>
        <v>TV Altenstadt</v>
      </c>
      <c r="G171" s="40"/>
      <c r="H171" s="24"/>
      <c r="I171" s="24"/>
      <c r="J171" s="29"/>
      <c r="K171" s="30"/>
      <c r="L171" s="84"/>
      <c r="M171" s="40"/>
      <c r="N171" s="49"/>
      <c r="O171" s="40"/>
      <c r="P171" s="40"/>
      <c r="Q171" s="40"/>
      <c r="R171" s="24"/>
      <c r="S171" s="24"/>
    </row>
    <row r="172" spans="2:19" ht="12" customHeight="1" x14ac:dyDescent="0.35">
      <c r="B172" s="84"/>
      <c r="C172" s="40"/>
      <c r="D172" s="49">
        <f t="shared" si="12"/>
        <v>94</v>
      </c>
      <c r="E172" s="40" t="str">
        <f>Rankings!D134</f>
        <v>BOL Platz 4 Rang 2</v>
      </c>
      <c r="F172" s="39" t="str">
        <f>Rankings!E134</f>
        <v>Hbi Weilimdorf/Feuerbach</v>
      </c>
      <c r="G172" s="40"/>
      <c r="H172" s="24"/>
      <c r="I172" s="24"/>
      <c r="J172" s="29"/>
      <c r="K172" s="30"/>
      <c r="L172" s="84"/>
      <c r="M172" s="40"/>
      <c r="N172" s="49"/>
      <c r="O172" s="40"/>
      <c r="P172" s="40"/>
      <c r="Q172" s="40"/>
      <c r="R172" s="24"/>
      <c r="S172" s="24"/>
    </row>
    <row r="173" spans="2:19" ht="12" customHeight="1" x14ac:dyDescent="0.35">
      <c r="B173" s="84"/>
      <c r="C173" s="40"/>
      <c r="D173" s="49">
        <f t="shared" si="12"/>
        <v>95</v>
      </c>
      <c r="E173" s="40" t="str">
        <f>Rankings!D135</f>
        <v>BOL Platz 4 Rang 3</v>
      </c>
      <c r="F173" s="39" t="str">
        <f>Rankings!E135</f>
        <v>TSV Weilheim</v>
      </c>
      <c r="G173" s="40"/>
      <c r="H173" s="24"/>
      <c r="I173" s="24"/>
      <c r="J173" s="29"/>
      <c r="K173" s="30"/>
      <c r="L173" s="84"/>
      <c r="M173" s="40"/>
      <c r="N173" s="49"/>
      <c r="O173" s="40"/>
      <c r="P173" s="40"/>
      <c r="Q173" s="40"/>
      <c r="R173" s="24"/>
      <c r="S173" s="24"/>
    </row>
    <row r="174" spans="2:19" ht="12" customHeight="1" x14ac:dyDescent="0.35">
      <c r="B174" s="84"/>
      <c r="C174" s="40"/>
      <c r="D174" s="49">
        <f t="shared" si="12"/>
        <v>96</v>
      </c>
      <c r="E174" s="40" t="str">
        <f>Rankings!D136</f>
        <v>BOL Platz 4 Rang 4</v>
      </c>
      <c r="F174" s="39" t="str">
        <f>Rankings!E136</f>
        <v>Spvgg Renningen</v>
      </c>
      <c r="G174" s="40"/>
      <c r="H174" s="24"/>
      <c r="I174" s="24"/>
      <c r="J174" s="29"/>
      <c r="K174" s="30"/>
      <c r="L174" s="84"/>
      <c r="M174" s="40"/>
      <c r="N174" s="49"/>
      <c r="O174" s="40"/>
      <c r="P174" s="40"/>
      <c r="Q174" s="40"/>
      <c r="R174" s="24"/>
      <c r="S174" s="24"/>
    </row>
    <row r="175" spans="2:19" ht="12" customHeight="1" x14ac:dyDescent="0.35">
      <c r="B175" s="84"/>
      <c r="C175" s="42" t="s">
        <v>56</v>
      </c>
      <c r="D175" s="52">
        <v>21</v>
      </c>
      <c r="E175" s="43" t="str">
        <f>Rankings!D188</f>
        <v>VL Platz 7</v>
      </c>
      <c r="F175" s="42" t="str">
        <f>Rankings!E188</f>
        <v>TV Ispringen</v>
      </c>
      <c r="G175" s="43"/>
      <c r="H175" s="24"/>
      <c r="I175" s="24"/>
      <c r="J175" s="29"/>
      <c r="K175" s="30"/>
      <c r="L175" s="84"/>
      <c r="M175" s="42" t="s">
        <v>56</v>
      </c>
      <c r="N175" s="52">
        <v>18</v>
      </c>
      <c r="O175" s="43" t="str">
        <f>Rankings!D488</f>
        <v>VL Platz 6</v>
      </c>
      <c r="P175" s="42" t="str">
        <f>Rankings!E488</f>
        <v>TSV Handschuhsheim Frauen</v>
      </c>
      <c r="Q175" s="43"/>
      <c r="R175" s="24"/>
      <c r="S175" s="24"/>
    </row>
    <row r="176" spans="2:19" ht="12" customHeight="1" x14ac:dyDescent="0.35">
      <c r="B176" s="84"/>
      <c r="C176" s="53">
        <v>14</v>
      </c>
      <c r="D176" s="52">
        <f>+D175+1</f>
        <v>22</v>
      </c>
      <c r="E176" s="43" t="str">
        <f>Rankings!D189</f>
        <v>VL Platz 8</v>
      </c>
      <c r="F176" s="42" t="str">
        <f>Rankings!E189</f>
        <v>TV Schriesheim</v>
      </c>
      <c r="G176" s="43"/>
      <c r="H176" s="24"/>
      <c r="I176" s="24"/>
      <c r="J176" s="29"/>
      <c r="K176" s="30"/>
      <c r="L176" s="84"/>
      <c r="M176" s="53">
        <v>11</v>
      </c>
      <c r="N176" s="52">
        <f>+N175+1</f>
        <v>19</v>
      </c>
      <c r="O176" s="43" t="str">
        <f>Rankings!D489</f>
        <v>VL Platz 7</v>
      </c>
      <c r="P176" s="42" t="str">
        <f>Rankings!E489</f>
        <v>HSG St. Leon/Reilingen 2</v>
      </c>
      <c r="Q176" s="43"/>
      <c r="R176" s="24"/>
      <c r="S176" s="24"/>
    </row>
    <row r="177" spans="2:19" ht="12" customHeight="1" x14ac:dyDescent="0.35">
      <c r="B177" s="84"/>
      <c r="C177" s="43"/>
      <c r="D177" s="52">
        <f t="shared" ref="D177:D202" si="14">+D176+1</f>
        <v>23</v>
      </c>
      <c r="E177" s="43" t="str">
        <f>Rankings!D190</f>
        <v>VL Platz 9</v>
      </c>
      <c r="F177" s="42" t="str">
        <f>Rankings!E190</f>
        <v>TV Eppelheim</v>
      </c>
      <c r="G177" s="43"/>
      <c r="H177" s="24"/>
      <c r="I177" s="24"/>
      <c r="J177" s="29"/>
      <c r="K177" s="30"/>
      <c r="L177" s="84"/>
      <c r="M177" s="43"/>
      <c r="N177" s="52">
        <f t="shared" ref="N177:N185" si="15">+N176+1</f>
        <v>20</v>
      </c>
      <c r="O177" s="43" t="str">
        <f>Rankings!D490</f>
        <v>VL Platz 8</v>
      </c>
      <c r="P177" s="42" t="str">
        <f>Rankings!E490</f>
        <v>TG 88 Pforzheim 2</v>
      </c>
      <c r="Q177" s="43"/>
      <c r="R177" s="24"/>
      <c r="S177" s="24"/>
    </row>
    <row r="178" spans="2:19" ht="12" customHeight="1" x14ac:dyDescent="0.35">
      <c r="B178" s="84"/>
      <c r="C178" s="43"/>
      <c r="D178" s="52">
        <f t="shared" si="14"/>
        <v>24</v>
      </c>
      <c r="E178" s="43" t="str">
        <f>Rankings!D191</f>
        <v>VL Platz 10</v>
      </c>
      <c r="F178" s="42" t="str">
        <f>Rankings!E191</f>
        <v>HSV Hockenheim</v>
      </c>
      <c r="G178" s="43"/>
      <c r="H178" s="24"/>
      <c r="I178" s="24"/>
      <c r="J178" s="29"/>
      <c r="K178" s="30"/>
      <c r="L178" s="84"/>
      <c r="M178" s="43"/>
      <c r="N178" s="52">
        <f t="shared" si="15"/>
        <v>21</v>
      </c>
      <c r="O178" s="43" t="str">
        <f>Rankings!D491</f>
        <v>VL Platz 9</v>
      </c>
      <c r="P178" s="42" t="str">
        <f>Rankings!E491</f>
        <v>TG Neureut</v>
      </c>
      <c r="Q178" s="43"/>
      <c r="R178" s="24"/>
      <c r="S178" s="24"/>
    </row>
    <row r="179" spans="2:19" ht="12" customHeight="1" x14ac:dyDescent="0.35">
      <c r="B179" s="84"/>
      <c r="C179" s="43"/>
      <c r="D179" s="52">
        <f t="shared" si="14"/>
        <v>25</v>
      </c>
      <c r="E179" s="43" t="str">
        <f>Rankings!D192</f>
        <v>VL Platz 11</v>
      </c>
      <c r="F179" s="42" t="str">
        <f>Rankings!E192</f>
        <v>SG Eggenstein-Leopoldshafen</v>
      </c>
      <c r="G179" s="43"/>
      <c r="H179" s="24"/>
      <c r="I179" s="24"/>
      <c r="J179" s="29"/>
      <c r="K179" s="30"/>
      <c r="L179" s="84"/>
      <c r="M179" s="43"/>
      <c r="N179" s="52">
        <f t="shared" si="15"/>
        <v>22</v>
      </c>
      <c r="O179" s="43" t="str">
        <f>Rankings!D492</f>
        <v>VL Platz 10</v>
      </c>
      <c r="P179" s="42" t="str">
        <f>Rankings!E492</f>
        <v>TV Schriesheim</v>
      </c>
      <c r="Q179" s="43"/>
      <c r="R179" s="24"/>
      <c r="S179" s="24"/>
    </row>
    <row r="180" spans="2:19" ht="12" customHeight="1" x14ac:dyDescent="0.35">
      <c r="B180" s="84"/>
      <c r="C180" s="43"/>
      <c r="D180" s="52">
        <f t="shared" si="14"/>
        <v>26</v>
      </c>
      <c r="E180" s="43" t="str">
        <f>Rankings!D193</f>
        <v>VL Platz 12</v>
      </c>
      <c r="F180" s="42" t="str">
        <f>Rankings!E193</f>
        <v>Saase3 Leutershausen Handball 3</v>
      </c>
      <c r="G180" s="43"/>
      <c r="H180" s="24"/>
      <c r="I180" s="24"/>
      <c r="J180" s="29"/>
      <c r="K180" s="30"/>
      <c r="L180" s="84"/>
      <c r="M180" s="43"/>
      <c r="N180" s="52">
        <f t="shared" si="15"/>
        <v>23</v>
      </c>
      <c r="O180" s="43" t="str">
        <f>Rankings!D493</f>
        <v>LL Platz 1 Rang 1</v>
      </c>
      <c r="P180" s="42" t="str">
        <f>Rankings!E493</f>
        <v>SGH Waldbrunn/Eberbach</v>
      </c>
      <c r="Q180" s="43"/>
      <c r="R180" s="24"/>
      <c r="S180" s="24"/>
    </row>
    <row r="181" spans="2:19" ht="12" customHeight="1" x14ac:dyDescent="0.35">
      <c r="B181" s="84"/>
      <c r="C181" s="43"/>
      <c r="D181" s="52">
        <f t="shared" si="14"/>
        <v>27</v>
      </c>
      <c r="E181" s="43" t="str">
        <f>Rankings!D194</f>
        <v>LL Platz 1 Rang 1</v>
      </c>
      <c r="F181" s="42" t="str">
        <f>Rankings!E194</f>
        <v>Turnerschaft Durlach</v>
      </c>
      <c r="G181" s="43"/>
      <c r="H181" s="24"/>
      <c r="I181" s="24"/>
      <c r="J181" s="29"/>
      <c r="K181" s="30"/>
      <c r="L181" s="84"/>
      <c r="M181" s="43"/>
      <c r="N181" s="52">
        <f t="shared" si="15"/>
        <v>24</v>
      </c>
      <c r="O181" s="43" t="str">
        <f>Rankings!D494</f>
        <v>LL Platz 1 Rang 2</v>
      </c>
      <c r="P181" s="42" t="str">
        <f>Rankings!E494</f>
        <v>SG Eggenstein-Leopoldshafen</v>
      </c>
      <c r="Q181" s="43"/>
      <c r="R181" s="24"/>
      <c r="S181" s="24"/>
    </row>
    <row r="182" spans="2:19" ht="12" customHeight="1" x14ac:dyDescent="0.35">
      <c r="B182" s="84"/>
      <c r="C182" s="43"/>
      <c r="D182" s="52">
        <f t="shared" si="14"/>
        <v>28</v>
      </c>
      <c r="E182" s="43" t="str">
        <f>Rankings!D195</f>
        <v>LL Platz 1 Rang 2</v>
      </c>
      <c r="F182" s="42" t="str">
        <f>Rankings!E195</f>
        <v xml:space="preserve">SG Heidelberg-Leimen </v>
      </c>
      <c r="G182" s="43"/>
      <c r="H182" s="24"/>
      <c r="I182" s="24"/>
      <c r="J182" s="29"/>
      <c r="K182" s="30"/>
      <c r="L182" s="84"/>
      <c r="M182" s="43"/>
      <c r="N182" s="52">
        <f t="shared" si="15"/>
        <v>25</v>
      </c>
      <c r="O182" s="43" t="str">
        <f>Rankings!D495</f>
        <v>VL Platz 11</v>
      </c>
      <c r="P182" s="42" t="str">
        <f>Rankings!E495</f>
        <v>TSV Rintheim 2</v>
      </c>
      <c r="Q182" s="43"/>
      <c r="R182" s="24"/>
      <c r="S182" s="24"/>
    </row>
    <row r="183" spans="2:19" ht="12" customHeight="1" x14ac:dyDescent="0.35">
      <c r="B183" s="84"/>
      <c r="C183" s="43"/>
      <c r="D183" s="52">
        <f t="shared" si="14"/>
        <v>29</v>
      </c>
      <c r="E183" s="43" t="str">
        <f>Rankings!D196</f>
        <v>VL Platz 13</v>
      </c>
      <c r="F183" s="42" t="str">
        <f>Rankings!E196</f>
        <v>TSG Germania Dossenheim</v>
      </c>
      <c r="G183" s="43"/>
      <c r="H183" s="24"/>
      <c r="I183" s="24"/>
      <c r="J183" s="29"/>
      <c r="K183" s="30"/>
      <c r="L183" s="84"/>
      <c r="M183" s="43"/>
      <c r="N183" s="52">
        <f t="shared" si="15"/>
        <v>26</v>
      </c>
      <c r="O183" s="43" t="str">
        <f>Rankings!D496</f>
        <v>LL AES Platz 2</v>
      </c>
      <c r="P183" s="110" t="str">
        <f>Rankings!E496</f>
        <v>HSG Ettlingen</v>
      </c>
      <c r="Q183" s="43"/>
      <c r="R183" s="24"/>
      <c r="S183" s="24"/>
    </row>
    <row r="184" spans="2:19" ht="12" customHeight="1" x14ac:dyDescent="0.35">
      <c r="B184" s="84"/>
      <c r="C184" s="43"/>
      <c r="D184" s="52">
        <f t="shared" si="14"/>
        <v>30</v>
      </c>
      <c r="E184" s="43" t="str">
        <f>Rankings!D197</f>
        <v>VL Platz 14</v>
      </c>
      <c r="F184" s="42" t="str">
        <f>Rankings!E197</f>
        <v>SG Nußloch</v>
      </c>
      <c r="G184" s="43"/>
      <c r="H184" s="24"/>
      <c r="I184" s="24"/>
      <c r="J184" s="29"/>
      <c r="K184" s="30"/>
      <c r="L184" s="84"/>
      <c r="M184" s="43"/>
      <c r="N184" s="52">
        <f t="shared" si="15"/>
        <v>27</v>
      </c>
      <c r="O184" s="43" t="str">
        <f>Rankings!D497</f>
        <v>LL RNT Platz 2</v>
      </c>
      <c r="P184" s="42" t="str">
        <f>Rankings!E497</f>
        <v>HSG Bergstraße</v>
      </c>
      <c r="Q184" s="43"/>
      <c r="R184" s="24"/>
      <c r="S184" s="24"/>
    </row>
    <row r="185" spans="2:19" ht="12" customHeight="1" x14ac:dyDescent="0.35">
      <c r="B185" s="84"/>
      <c r="C185" s="43"/>
      <c r="D185" s="52">
        <f t="shared" si="14"/>
        <v>31</v>
      </c>
      <c r="E185" s="43" t="str">
        <f>Rankings!D198</f>
        <v>LL RNT Platz 2</v>
      </c>
      <c r="F185" s="42" t="str">
        <f>Rankings!E198</f>
        <v>TV Brühl</v>
      </c>
      <c r="G185" s="43"/>
      <c r="H185" s="24"/>
      <c r="I185" s="24"/>
      <c r="J185" s="29"/>
      <c r="K185" s="30"/>
      <c r="L185" s="84"/>
      <c r="M185" s="43"/>
      <c r="N185" s="52">
        <f t="shared" si="15"/>
        <v>28</v>
      </c>
      <c r="O185" s="43" t="str">
        <f>Rankings!D498</f>
        <v>LL RNT Platz 3</v>
      </c>
      <c r="P185" s="42" t="str">
        <f>Rankings!E498</f>
        <v>HG Oftersheim/Schwetzingen 2</v>
      </c>
      <c r="Q185" s="43"/>
      <c r="R185" s="24"/>
      <c r="S185" s="24"/>
    </row>
    <row r="186" spans="2:19" ht="12" customHeight="1" x14ac:dyDescent="0.35">
      <c r="B186" s="84"/>
      <c r="C186" s="43"/>
      <c r="D186" s="52">
        <f t="shared" si="14"/>
        <v>32</v>
      </c>
      <c r="E186" s="43" t="str">
        <f>Rankings!D199</f>
        <v>LL RNT Platz 3</v>
      </c>
      <c r="F186" s="42" t="str">
        <f>Rankings!E199</f>
        <v>TV Hemsbach</v>
      </c>
      <c r="G186" s="43"/>
      <c r="H186" s="24"/>
      <c r="I186" s="24"/>
      <c r="J186" s="29"/>
      <c r="K186" s="30"/>
      <c r="L186" s="84"/>
      <c r="M186" s="43"/>
      <c r="N186" s="52"/>
      <c r="O186" s="43"/>
      <c r="P186" s="43"/>
      <c r="Q186" s="43"/>
      <c r="R186" s="24"/>
      <c r="S186" s="24"/>
    </row>
    <row r="187" spans="2:19" ht="12" customHeight="1" x14ac:dyDescent="0.35">
      <c r="B187" s="84"/>
      <c r="C187" s="43"/>
      <c r="D187" s="52">
        <f t="shared" si="14"/>
        <v>33</v>
      </c>
      <c r="E187" s="43" t="str">
        <f>Rankings!D200</f>
        <v>LL RNT Platz 4</v>
      </c>
      <c r="F187" s="42" t="str">
        <f>Rankings!E200</f>
        <v>TSG Ketsch</v>
      </c>
      <c r="G187" s="43"/>
      <c r="H187" s="24"/>
      <c r="I187" s="24"/>
      <c r="J187" s="29"/>
      <c r="K187" s="30"/>
      <c r="L187" s="84"/>
      <c r="M187" s="43"/>
      <c r="N187" s="52"/>
      <c r="O187" s="43"/>
      <c r="P187" s="43"/>
      <c r="Q187" s="43"/>
      <c r="R187" s="24"/>
      <c r="S187" s="24"/>
    </row>
    <row r="188" spans="2:19" ht="12" customHeight="1" x14ac:dyDescent="0.35">
      <c r="B188" s="84"/>
      <c r="C188" s="43"/>
      <c r="D188" s="52">
        <f t="shared" si="14"/>
        <v>34</v>
      </c>
      <c r="E188" s="43" t="str">
        <f>Rankings!D201</f>
        <v>LL AES Platz 2</v>
      </c>
      <c r="F188" s="42" t="str">
        <f>Rankings!E201</f>
        <v>SG Heidelsheim/Helmsheim 2</v>
      </c>
      <c r="G188" s="43"/>
      <c r="H188" s="24"/>
      <c r="I188" s="24"/>
      <c r="J188" s="29"/>
      <c r="K188" s="30"/>
      <c r="L188" s="84"/>
      <c r="M188" s="43"/>
      <c r="N188" s="52"/>
      <c r="O188" s="43"/>
      <c r="P188" s="43"/>
      <c r="Q188" s="43"/>
      <c r="R188" s="24"/>
      <c r="S188" s="24"/>
    </row>
    <row r="189" spans="2:19" ht="12" customHeight="1" x14ac:dyDescent="0.35">
      <c r="B189" s="84"/>
      <c r="C189" s="27" t="s">
        <v>55</v>
      </c>
      <c r="D189" s="54">
        <v>21</v>
      </c>
      <c r="E189" s="28" t="str">
        <f>Rankings!D245</f>
        <v>LL Platz 4 Rang 1</v>
      </c>
      <c r="F189" s="27" t="str">
        <f>Rankings!E245</f>
        <v>HSG Nonnenweier/Ottenheim</v>
      </c>
      <c r="G189" s="28"/>
      <c r="H189" s="24"/>
      <c r="I189" s="24"/>
      <c r="J189" s="29"/>
      <c r="K189" s="30"/>
      <c r="L189" s="84"/>
      <c r="M189" s="27" t="s">
        <v>55</v>
      </c>
      <c r="N189" s="54">
        <v>18</v>
      </c>
      <c r="O189" s="28" t="str">
        <f>Rankings!D543</f>
        <v>LL Platz 4 Rang 1</v>
      </c>
      <c r="P189" s="27" t="str">
        <f>Rankings!E543</f>
        <v>HSG Konstanz</v>
      </c>
      <c r="Q189" s="28"/>
      <c r="R189" s="24"/>
      <c r="S189" s="24"/>
    </row>
    <row r="190" spans="2:19" ht="12" customHeight="1" x14ac:dyDescent="0.35">
      <c r="B190" s="84"/>
      <c r="C190" s="55">
        <v>14</v>
      </c>
      <c r="D190" s="54">
        <f>+D189+1</f>
        <v>22</v>
      </c>
      <c r="E190" s="28" t="str">
        <f>Rankings!D246</f>
        <v>LL Platz 4 Rang 2</v>
      </c>
      <c r="F190" s="27" t="str">
        <f>Rankings!E246</f>
        <v>HSG Dreiland</v>
      </c>
      <c r="G190" s="28"/>
      <c r="H190" s="24"/>
      <c r="I190" s="24"/>
      <c r="J190" s="29"/>
      <c r="K190" s="30"/>
      <c r="L190" s="84"/>
      <c r="M190" s="55">
        <v>11</v>
      </c>
      <c r="N190" s="54">
        <v>19</v>
      </c>
      <c r="O190" s="28" t="str">
        <f>Rankings!D544</f>
        <v>LL Platz 4 Rang 2</v>
      </c>
      <c r="P190" s="27" t="str">
        <f>Rankings!E544</f>
        <v>Murgtal Panthers</v>
      </c>
      <c r="Q190" s="28"/>
      <c r="R190" s="24"/>
      <c r="S190" s="24"/>
    </row>
    <row r="191" spans="2:19" ht="12" customHeight="1" x14ac:dyDescent="0.35">
      <c r="B191" s="84"/>
      <c r="C191" s="28"/>
      <c r="D191" s="54">
        <f t="shared" si="14"/>
        <v>23</v>
      </c>
      <c r="E191" s="28" t="str">
        <f>Rankings!D247</f>
        <v>LL Platz 5 Rang 1</v>
      </c>
      <c r="F191" s="27" t="str">
        <f>Rankings!E247</f>
        <v>ASV Ottenhöfen</v>
      </c>
      <c r="G191" s="28"/>
      <c r="H191" s="24"/>
      <c r="I191" s="24"/>
      <c r="J191" s="29"/>
      <c r="K191" s="30"/>
      <c r="L191" s="84"/>
      <c r="M191" s="28"/>
      <c r="N191" s="54">
        <v>20</v>
      </c>
      <c r="O191" s="28" t="str">
        <f>Rankings!D545</f>
        <v>LL Platz 5 Rang 1</v>
      </c>
      <c r="P191" s="27" t="str">
        <f>Rankings!E545</f>
        <v>TSV Alemannia Freiburg-Zähringen</v>
      </c>
      <c r="Q191" s="28"/>
      <c r="R191" s="24"/>
      <c r="S191" s="24"/>
    </row>
    <row r="192" spans="2:19" ht="12" customHeight="1" x14ac:dyDescent="0.35">
      <c r="B192" s="84"/>
      <c r="C192" s="28"/>
      <c r="D192" s="54">
        <f t="shared" si="14"/>
        <v>24</v>
      </c>
      <c r="E192" s="28" t="str">
        <f>Rankings!D248</f>
        <v>LL Platz 5 Rang 2</v>
      </c>
      <c r="F192" s="27" t="str">
        <f>Rankings!E248</f>
        <v>SG Waldkirch/Denzlingen</v>
      </c>
      <c r="G192" s="28"/>
      <c r="H192" s="24"/>
      <c r="I192" s="24"/>
      <c r="J192" s="29"/>
      <c r="K192" s="30"/>
      <c r="L192" s="84"/>
      <c r="M192" s="28"/>
      <c r="N192" s="54">
        <v>21</v>
      </c>
      <c r="O192" s="28" t="str">
        <f>Rankings!D546</f>
        <v>LL Platz 5 Rang 2</v>
      </c>
      <c r="P192" s="27" t="str">
        <f>Rankings!E546</f>
        <v>SG Baden-Baden/Sandweier</v>
      </c>
      <c r="Q192" s="28"/>
      <c r="R192" s="24"/>
      <c r="S192" s="24"/>
    </row>
    <row r="193" spans="2:19" ht="12" customHeight="1" x14ac:dyDescent="0.35">
      <c r="B193" s="84"/>
      <c r="C193" s="28"/>
      <c r="D193" s="54">
        <f t="shared" si="14"/>
        <v>25</v>
      </c>
      <c r="E193" s="28" t="str">
        <f>Rankings!D249</f>
        <v>LL Platz 6 Rang 1</v>
      </c>
      <c r="F193" s="27" t="str">
        <f>Rankings!E249</f>
        <v>HSG Ortenau Süd</v>
      </c>
      <c r="G193" s="28"/>
      <c r="H193" s="24"/>
      <c r="I193" s="24"/>
      <c r="J193" s="29"/>
      <c r="K193" s="30"/>
      <c r="L193" s="84"/>
      <c r="M193" s="28"/>
      <c r="N193" s="54">
        <v>22</v>
      </c>
      <c r="O193" s="28" t="str">
        <f>Rankings!D547</f>
        <v>LL Platz 6 Rang 1</v>
      </c>
      <c r="P193" s="27" t="str">
        <f>Rankings!E547</f>
        <v>SG Waldkirch/Denzlingen</v>
      </c>
      <c r="Q193" s="28"/>
      <c r="R193" s="24"/>
      <c r="S193" s="24"/>
    </row>
    <row r="194" spans="2:19" ht="12" customHeight="1" x14ac:dyDescent="0.35">
      <c r="B194" s="84"/>
      <c r="C194" s="28"/>
      <c r="D194" s="54">
        <f t="shared" si="14"/>
        <v>26</v>
      </c>
      <c r="E194" s="28" t="str">
        <f>Rankings!D250</f>
        <v>LL Platz 6 Rang 2</v>
      </c>
      <c r="F194" s="27" t="str">
        <f>Rankings!E250</f>
        <v>TuS Steißlingen 2</v>
      </c>
      <c r="G194" s="28"/>
      <c r="H194" s="24"/>
      <c r="I194" s="24"/>
      <c r="J194" s="29"/>
      <c r="K194" s="30"/>
      <c r="L194" s="84"/>
      <c r="M194" s="28"/>
      <c r="N194" s="54">
        <v>23</v>
      </c>
      <c r="O194" s="28" t="str">
        <f>Rankings!D548</f>
        <v>LL Platz 6 Rang 2</v>
      </c>
      <c r="P194" s="27" t="str">
        <f>Rankings!E548</f>
        <v>SG Ohlsbach/Elgersweier/Zunsweier</v>
      </c>
      <c r="Q194" s="28"/>
      <c r="R194" s="24"/>
      <c r="S194" s="24"/>
    </row>
    <row r="195" spans="2:19" ht="12" customHeight="1" x14ac:dyDescent="0.35">
      <c r="B195" s="84"/>
      <c r="C195" s="28"/>
      <c r="D195" s="54">
        <f t="shared" si="14"/>
        <v>27</v>
      </c>
      <c r="E195" s="28" t="str">
        <f>Rankings!D251</f>
        <v>LL Platz 7 Rang 1</v>
      </c>
      <c r="F195" s="27" t="str">
        <f>Rankings!E251</f>
        <v>SG Maulburg/Steinen</v>
      </c>
      <c r="G195" s="28"/>
      <c r="H195" s="24"/>
      <c r="I195" s="24"/>
      <c r="J195" s="29"/>
      <c r="K195" s="30"/>
      <c r="L195" s="84"/>
      <c r="M195" s="28"/>
      <c r="N195" s="54">
        <v>24</v>
      </c>
      <c r="O195" s="28" t="str">
        <f>Rankings!D549</f>
        <v>LL Platz 7 Rang 1</v>
      </c>
      <c r="P195" s="27" t="str">
        <f>Rankings!E549</f>
        <v>TuS Schutterwald 2</v>
      </c>
      <c r="Q195" s="28"/>
      <c r="R195" s="24"/>
      <c r="S195" s="24"/>
    </row>
    <row r="196" spans="2:19" ht="12" customHeight="1" x14ac:dyDescent="0.35">
      <c r="B196" s="84"/>
      <c r="C196" s="28"/>
      <c r="D196" s="54">
        <f t="shared" si="14"/>
        <v>28</v>
      </c>
      <c r="E196" s="28" t="str">
        <f>Rankings!D252</f>
        <v>LL Platz 7 Rang 2</v>
      </c>
      <c r="F196" s="27" t="str">
        <f>Rankings!E252</f>
        <v>SV Zunsweier</v>
      </c>
      <c r="G196" s="28"/>
      <c r="H196" s="24"/>
      <c r="I196" s="24"/>
      <c r="J196" s="29"/>
      <c r="K196" s="30"/>
      <c r="L196" s="84"/>
      <c r="M196" s="28"/>
      <c r="N196" s="54">
        <v>25</v>
      </c>
      <c r="O196" s="28" t="str">
        <f>Rankings!D550</f>
        <v>LL Platz 7 Rang 2</v>
      </c>
      <c r="P196" s="27" t="str">
        <f>Rankings!E550</f>
        <v>TV St. Georgen/Schw.</v>
      </c>
      <c r="Q196" s="28"/>
      <c r="R196" s="24"/>
      <c r="S196" s="24"/>
    </row>
    <row r="197" spans="2:19" ht="12" customHeight="1" x14ac:dyDescent="0.35">
      <c r="B197" s="84"/>
      <c r="C197" s="28"/>
      <c r="D197" s="54">
        <f t="shared" si="14"/>
        <v>29</v>
      </c>
      <c r="E197" s="28" t="str">
        <f>Rankings!D253</f>
        <v>LL Platz 8 Rang 1</v>
      </c>
      <c r="F197" s="27" t="str">
        <f>Rankings!E253</f>
        <v>HSG Hanauerland</v>
      </c>
      <c r="G197" s="28"/>
      <c r="H197" s="24"/>
      <c r="I197" s="24"/>
      <c r="J197" s="29"/>
      <c r="K197" s="30"/>
      <c r="L197" s="84"/>
      <c r="M197" s="28"/>
      <c r="N197" s="54">
        <v>26</v>
      </c>
      <c r="O197" s="28" t="str">
        <f>Rankings!D551</f>
        <v>LL Platz 8 Rang 1</v>
      </c>
      <c r="P197" s="27" t="str">
        <f>Rankings!E551</f>
        <v>ASV Ottenhöfen</v>
      </c>
      <c r="Q197" s="28"/>
      <c r="R197" s="24"/>
      <c r="S197" s="24"/>
    </row>
    <row r="198" spans="2:19" ht="12" customHeight="1" x14ac:dyDescent="0.35">
      <c r="B198" s="84"/>
      <c r="C198" s="28"/>
      <c r="D198" s="54">
        <f t="shared" si="14"/>
        <v>30</v>
      </c>
      <c r="E198" s="28" t="str">
        <f>Rankings!D254</f>
        <v>LL Platz 8 Rang 2</v>
      </c>
      <c r="F198" s="27" t="str">
        <f>Rankings!E254</f>
        <v>HSG Mimmenhausen/Mühlhofen</v>
      </c>
      <c r="G198" s="28"/>
      <c r="H198" s="24"/>
      <c r="I198" s="24"/>
      <c r="J198" s="29"/>
      <c r="K198" s="30"/>
      <c r="L198" s="84"/>
      <c r="M198" s="28"/>
      <c r="N198" s="54">
        <v>27</v>
      </c>
      <c r="O198" s="28" t="str">
        <f>Rankings!D552</f>
        <v>LL Platz 8 Rang 2</v>
      </c>
      <c r="P198" s="27" t="str">
        <f>Rankings!E552</f>
        <v>TSV March</v>
      </c>
      <c r="Q198" s="28"/>
      <c r="R198" s="24"/>
      <c r="S198" s="24"/>
    </row>
    <row r="199" spans="2:19" ht="12" customHeight="1" x14ac:dyDescent="0.35">
      <c r="B199" s="84"/>
      <c r="C199" s="28"/>
      <c r="D199" s="54">
        <f t="shared" si="14"/>
        <v>31</v>
      </c>
      <c r="E199" s="28" t="str">
        <f>Rankings!D255</f>
        <v>LL Platz 9 Rang 1</v>
      </c>
      <c r="F199" s="27" t="str">
        <f>Rankings!E255</f>
        <v>HTV Meißenheim 2</v>
      </c>
      <c r="G199" s="28"/>
      <c r="H199" s="24"/>
      <c r="I199" s="24"/>
      <c r="J199" s="29"/>
      <c r="K199" s="30"/>
      <c r="L199" s="84"/>
      <c r="M199" s="28"/>
      <c r="N199" s="54">
        <v>28</v>
      </c>
      <c r="O199" s="28" t="str">
        <f>Rankings!D553</f>
        <v>LL Platz 9 Rang 1</v>
      </c>
      <c r="P199" s="27" t="str">
        <f>Rankings!E553</f>
        <v>TuS Altenheim</v>
      </c>
      <c r="Q199" s="28"/>
      <c r="R199" s="24"/>
      <c r="S199" s="24"/>
    </row>
    <row r="200" spans="2:19" ht="12" customHeight="1" x14ac:dyDescent="0.35">
      <c r="B200" s="84"/>
      <c r="C200" s="28"/>
      <c r="D200" s="54">
        <f t="shared" si="14"/>
        <v>32</v>
      </c>
      <c r="E200" s="28" t="str">
        <f>Rankings!D256</f>
        <v>LL Platz 9 Rang 2</v>
      </c>
      <c r="F200" s="27" t="str">
        <f>Rankings!E256</f>
        <v>TV Pfullendorf</v>
      </c>
      <c r="G200" s="28"/>
      <c r="H200" s="24"/>
      <c r="I200" s="24"/>
      <c r="J200" s="29"/>
      <c r="K200" s="30"/>
      <c r="L200" s="84"/>
      <c r="M200" s="28"/>
      <c r="N200" s="54"/>
      <c r="O200" s="28"/>
      <c r="P200" s="28"/>
      <c r="Q200" s="28"/>
      <c r="R200" s="24"/>
      <c r="S200" s="24"/>
    </row>
    <row r="201" spans="2:19" ht="12" customHeight="1" x14ac:dyDescent="0.35">
      <c r="B201" s="84"/>
      <c r="C201" s="28"/>
      <c r="D201" s="54">
        <f t="shared" si="14"/>
        <v>33</v>
      </c>
      <c r="E201" s="28" t="str">
        <f>Rankings!D257</f>
        <v>LL Platz 10 Rang 1</v>
      </c>
      <c r="F201" s="27" t="str">
        <f>Rankings!E257</f>
        <v>TuS Oppenau</v>
      </c>
      <c r="G201" s="28"/>
      <c r="H201" s="24"/>
      <c r="I201" s="24"/>
      <c r="J201" s="29"/>
      <c r="K201" s="30"/>
      <c r="L201" s="84"/>
      <c r="M201" s="28"/>
      <c r="N201" s="54"/>
      <c r="O201" s="28"/>
      <c r="P201" s="28"/>
      <c r="Q201" s="28"/>
      <c r="R201" s="24"/>
      <c r="S201" s="24"/>
    </row>
    <row r="202" spans="2:19" ht="12" customHeight="1" x14ac:dyDescent="0.35">
      <c r="B202" s="84"/>
      <c r="C202" s="56"/>
      <c r="D202" s="57">
        <f t="shared" si="14"/>
        <v>34</v>
      </c>
      <c r="E202" s="56" t="str">
        <f>Rankings!D258</f>
        <v>LL Platz 10 Rang 2</v>
      </c>
      <c r="F202" s="77" t="str">
        <f>Rankings!E258</f>
        <v>HG Müllheim/Neuenburg</v>
      </c>
      <c r="G202" s="56"/>
      <c r="H202" s="58"/>
      <c r="I202" s="58"/>
      <c r="J202" s="29"/>
      <c r="K202" s="30"/>
      <c r="L202" s="84"/>
      <c r="M202" s="56"/>
      <c r="N202" s="57"/>
      <c r="O202" s="56"/>
      <c r="P202" s="56"/>
      <c r="Q202" s="56"/>
      <c r="R202" s="58"/>
      <c r="S202" s="58"/>
    </row>
    <row r="203" spans="2:19" ht="12" customHeight="1" x14ac:dyDescent="0.35">
      <c r="B203" s="84"/>
      <c r="C203" s="83" t="s">
        <v>409</v>
      </c>
      <c r="D203" s="87" t="s">
        <v>275</v>
      </c>
      <c r="E203" s="61" t="str">
        <f>Rankings!B266&amp;" "&amp;Rankings!D266</f>
        <v>42 LL Platz 12 Rang 2</v>
      </c>
      <c r="F203" s="104" t="str">
        <f>Rankings!E266</f>
        <v>TV St. Georgen/Schw.</v>
      </c>
      <c r="G203" s="62" t="s">
        <v>274</v>
      </c>
      <c r="H203" s="46" t="str">
        <f>Rankings!B137&amp;" "&amp;Rankings!D137</f>
        <v>97 BOL Platz 4 Rang 5</v>
      </c>
      <c r="I203" s="44" t="str">
        <f>Rankings!E137</f>
        <v>TSV Lindau</v>
      </c>
      <c r="J203" s="29"/>
      <c r="K203" s="30"/>
      <c r="L203" s="84"/>
      <c r="M203" s="83" t="s">
        <v>409</v>
      </c>
      <c r="N203" s="87" t="s">
        <v>275</v>
      </c>
      <c r="O203" s="63" t="str">
        <f>Rankings!B506&amp;" "&amp;Rankings!D506</f>
        <v>36 LL RNT Platz 6</v>
      </c>
      <c r="P203" s="108" t="str">
        <f>Rankings!E506</f>
        <v>TV Mosbach</v>
      </c>
      <c r="Q203" s="62" t="s">
        <v>274</v>
      </c>
      <c r="R203" s="46" t="str">
        <f>Rankings!B424&amp;" "&amp;Rankings!D424</f>
        <v>81 BOL Platz 3 Rang 2</v>
      </c>
      <c r="S203" s="44" t="str">
        <f>Rankings!E424</f>
        <v>Handballregion Bottwar SG 2</v>
      </c>
    </row>
    <row r="204" spans="2:19" ht="12" customHeight="1" x14ac:dyDescent="0.35">
      <c r="B204" s="84"/>
      <c r="C204" s="84" t="s">
        <v>410</v>
      </c>
      <c r="D204" s="85" t="s">
        <v>275</v>
      </c>
      <c r="E204" s="43" t="str">
        <f>Rankings!B209&amp;" "&amp;Rankings!D209</f>
        <v>42 LL RNT Platz 7</v>
      </c>
      <c r="F204" s="42" t="str">
        <f>Rankings!E209</f>
        <v>HA Neckarelz</v>
      </c>
      <c r="G204" s="65" t="s">
        <v>274</v>
      </c>
      <c r="H204" s="40" t="str">
        <f>Rankings!B138&amp;" "&amp;Rankings!D138</f>
        <v>98 BOL Platz 4 Rang 6</v>
      </c>
      <c r="I204" s="39" t="str">
        <f>Rankings!E138</f>
        <v>HSG Hossingen-Meßstetten</v>
      </c>
      <c r="J204" s="29"/>
      <c r="K204" s="30"/>
      <c r="L204" s="84"/>
      <c r="M204" s="84" t="s">
        <v>410</v>
      </c>
      <c r="N204" s="85" t="s">
        <v>275</v>
      </c>
      <c r="O204" s="28" t="str">
        <f>Rankings!B561&amp;" "&amp;Rankings!D561</f>
        <v>36 LL Platz 11 Rang 1</v>
      </c>
      <c r="P204" s="27" t="str">
        <f>Rankings!E561</f>
        <v>HSG Meißenheim/Nonnenweier</v>
      </c>
      <c r="Q204" s="65" t="s">
        <v>274</v>
      </c>
      <c r="R204" s="40" t="str">
        <f>Rankings!B425&amp;" "&amp;Rankings!D425</f>
        <v>82 BOL Platz 3 Rang 3</v>
      </c>
      <c r="S204" s="39" t="str">
        <f>Rankings!E425</f>
        <v>HSG Böblingen/Sindelfingen 2</v>
      </c>
    </row>
    <row r="205" spans="2:19" ht="12" customHeight="1" x14ac:dyDescent="0.35">
      <c r="B205" s="84"/>
      <c r="C205" s="85">
        <v>16</v>
      </c>
      <c r="D205" s="85" t="s">
        <v>275</v>
      </c>
      <c r="E205" s="43" t="str">
        <f>Rankings!B208&amp;" "&amp;Rankings!D208</f>
        <v>41 LL AES Platz 7</v>
      </c>
      <c r="F205" s="42" t="str">
        <f>Rankings!E208</f>
        <v xml:space="preserve">SG Neuthard/Büchenau </v>
      </c>
      <c r="G205" s="65" t="s">
        <v>274</v>
      </c>
      <c r="H205" s="40" t="str">
        <f>Rankings!B139&amp;" "&amp;Rankings!D139</f>
        <v>99 BOL Platz 4 Rang 7</v>
      </c>
      <c r="I205" s="39" t="str">
        <f>Rankings!E139</f>
        <v>HSG Heilbronn</v>
      </c>
      <c r="J205" s="29"/>
      <c r="K205" s="30"/>
      <c r="L205" s="84"/>
      <c r="M205" s="85">
        <v>16</v>
      </c>
      <c r="N205" s="85" t="s">
        <v>275</v>
      </c>
      <c r="O205" s="28" t="str">
        <f>Rankings!B560&amp;" "&amp;Rankings!D560</f>
        <v>35 LL Platz 10 Rang 2</v>
      </c>
      <c r="P205" s="27" t="str">
        <f>Rankings!E560</f>
        <v>HSG Oberer Hegau</v>
      </c>
      <c r="Q205" s="65" t="s">
        <v>274</v>
      </c>
      <c r="R205" s="40" t="str">
        <f>Rankings!B426&amp;" "&amp;Rankings!D426</f>
        <v>83 BOL Platz 3 Rang 4</v>
      </c>
      <c r="S205" s="39" t="str">
        <f>Rankings!E426</f>
        <v>HSG Friedrichshafen-Fischbach</v>
      </c>
    </row>
    <row r="206" spans="2:19" ht="12" customHeight="1" x14ac:dyDescent="0.35">
      <c r="B206" s="84"/>
      <c r="C206" s="84"/>
      <c r="D206" s="85" t="s">
        <v>275</v>
      </c>
      <c r="E206" s="28" t="str">
        <f>Rankings!B265&amp;" "&amp;Rankings!D265</f>
        <v>41 LL Platz 12 Rang 1</v>
      </c>
      <c r="F206" s="27" t="str">
        <f>Rankings!E265</f>
        <v>HandBall Löwen Heitersheim</v>
      </c>
      <c r="G206" s="65" t="s">
        <v>274</v>
      </c>
      <c r="H206" s="40" t="str">
        <f>Rankings!B140&amp;" "&amp;Rankings!D140</f>
        <v>100 BOL Platz 4 Rang 8</v>
      </c>
      <c r="I206" s="39" t="str">
        <f>Rankings!E140</f>
        <v>HSG Strohgäu</v>
      </c>
      <c r="J206" s="29"/>
      <c r="K206" s="30"/>
      <c r="L206" s="84"/>
      <c r="M206" s="84"/>
      <c r="N206" s="85" t="s">
        <v>275</v>
      </c>
      <c r="O206" s="43" t="str">
        <f>Rankings!B505&amp;" "&amp;Rankings!D505</f>
        <v>35 LL AES Platz 7</v>
      </c>
      <c r="P206" s="42" t="str">
        <f>Rankings!E505</f>
        <v>SG Pforzheim/Eutingen</v>
      </c>
      <c r="Q206" s="65" t="s">
        <v>274</v>
      </c>
      <c r="R206" s="40" t="str">
        <f>Rankings!B427&amp;" "&amp;Rankings!D427</f>
        <v>84 BOL Platz 3 Rang 5</v>
      </c>
      <c r="S206" s="39" t="str">
        <f>Rankings!E427</f>
        <v>SV Fellbach</v>
      </c>
    </row>
    <row r="207" spans="2:19" ht="12" customHeight="1" x14ac:dyDescent="0.35">
      <c r="B207" s="84"/>
      <c r="C207" s="84"/>
      <c r="D207" s="85" t="s">
        <v>275</v>
      </c>
      <c r="E207" s="28" t="str">
        <f>Rankings!B264&amp;" "&amp;Rankings!D264</f>
        <v>40 LL Platz 11 Rang 2</v>
      </c>
      <c r="F207" s="27" t="str">
        <f>Rankings!E264</f>
        <v>SG Gutach/Wolfach</v>
      </c>
      <c r="G207" s="65" t="s">
        <v>274</v>
      </c>
      <c r="H207" s="40" t="str">
        <f>Rankings!B141&amp;" "&amp;Rankings!D141</f>
        <v>101 BOL Platz 5 Rang 1</v>
      </c>
      <c r="I207" s="39" t="str">
        <f>Rankings!E141</f>
        <v>HSG Bargau/Bettringen</v>
      </c>
      <c r="J207" s="29"/>
      <c r="K207" s="30"/>
      <c r="L207" s="84"/>
      <c r="M207" s="84"/>
      <c r="N207" s="85" t="s">
        <v>275</v>
      </c>
      <c r="O207" s="43" t="str">
        <f>Rankings!B504&amp;" "&amp;Rankings!D504</f>
        <v>34 LL RNT Platz 5</v>
      </c>
      <c r="P207" s="42" t="str">
        <f>Rankings!E504</f>
        <v>Saase3 Leutershausen Handball 2</v>
      </c>
      <c r="Q207" s="65" t="s">
        <v>274</v>
      </c>
      <c r="R207" s="40" t="str">
        <f>Rankings!B428&amp;" "&amp;Rankings!D428</f>
        <v>85 BOL Platz 3 Rang 6</v>
      </c>
      <c r="S207" s="39" t="str">
        <f>Rankings!E428</f>
        <v>HSG Baar 2</v>
      </c>
    </row>
    <row r="208" spans="2:19" ht="12" customHeight="1" x14ac:dyDescent="0.35">
      <c r="B208" s="84"/>
      <c r="C208" s="84"/>
      <c r="D208" s="85" t="s">
        <v>275</v>
      </c>
      <c r="E208" s="43" t="str">
        <f>Rankings!B207&amp;" "&amp;Rankings!D207</f>
        <v>40 LL RNT Platz 6</v>
      </c>
      <c r="F208" s="42" t="str">
        <f>Rankings!E207</f>
        <v>HSG St. Leon/Reilingen</v>
      </c>
      <c r="G208" s="65" t="s">
        <v>274</v>
      </c>
      <c r="H208" s="40" t="str">
        <f>Rankings!B142&amp;" "&amp;Rankings!D142</f>
        <v>102 BOL Platz 5 Rang 2</v>
      </c>
      <c r="I208" s="39" t="str">
        <f>Rankings!E142</f>
        <v>VfH 87 Schwenningen</v>
      </c>
      <c r="J208" s="29"/>
      <c r="K208" s="30"/>
      <c r="L208" s="84"/>
      <c r="M208" s="84"/>
      <c r="N208" s="85" t="s">
        <v>275</v>
      </c>
      <c r="O208" s="28" t="str">
        <f>Rankings!B559&amp;" "&amp;Rankings!D559</f>
        <v>34 LL Platz 10 Rang 1</v>
      </c>
      <c r="P208" s="27" t="str">
        <f>Rankings!E559</f>
        <v>HSG Hanauerland</v>
      </c>
      <c r="Q208" s="65" t="s">
        <v>274</v>
      </c>
      <c r="R208" s="40" t="str">
        <f>Rankings!B429&amp;" "&amp;Rankings!D429</f>
        <v>86 BOL Platz 3 Rang 7</v>
      </c>
      <c r="S208" s="39" t="str">
        <f>Rankings!E429</f>
        <v>TSG Schwäbisch Hall</v>
      </c>
    </row>
    <row r="209" spans="2:19" ht="12" customHeight="1" x14ac:dyDescent="0.35">
      <c r="B209" s="84"/>
      <c r="C209" s="84"/>
      <c r="D209" s="85" t="s">
        <v>275</v>
      </c>
      <c r="E209" s="43" t="str">
        <f>Rankings!B206&amp;" "&amp;Rankings!D206</f>
        <v>39 LL AES Platz 6</v>
      </c>
      <c r="F209" s="42" t="str">
        <f>Rankings!E206</f>
        <v>SG KIT/MTV Karlsruhe</v>
      </c>
      <c r="G209" s="65" t="s">
        <v>274</v>
      </c>
      <c r="H209" s="40" t="str">
        <f>Rankings!B143&amp;" "&amp;Rankings!D143</f>
        <v>103 BOL Platz 5 Rang 3</v>
      </c>
      <c r="I209" s="39" t="str">
        <f>Rankings!E143</f>
        <v>TSV Schmiden 1902 2</v>
      </c>
      <c r="J209" s="29"/>
      <c r="K209" s="30"/>
      <c r="L209" s="84"/>
      <c r="M209" s="84"/>
      <c r="N209" s="85" t="s">
        <v>275</v>
      </c>
      <c r="O209" s="28" t="str">
        <f>Rankings!B558&amp;" "&amp;Rankings!D558</f>
        <v>33 LL Platz 9 Rang 2</v>
      </c>
      <c r="P209" s="27" t="str">
        <f>Rankings!E558</f>
        <v>HSG Freiburg 3</v>
      </c>
      <c r="Q209" s="65" t="s">
        <v>274</v>
      </c>
      <c r="R209" s="40" t="str">
        <f>Rankings!B430&amp;" "&amp;Rankings!D430</f>
        <v>87 BOL Platz 4 Rang 1</v>
      </c>
      <c r="S209" s="39" t="str">
        <f>Rankings!E430</f>
        <v>TSV Denkendorf 2</v>
      </c>
    </row>
    <row r="210" spans="2:19" ht="12" customHeight="1" x14ac:dyDescent="0.35">
      <c r="B210" s="84"/>
      <c r="C210" s="84"/>
      <c r="D210" s="85" t="s">
        <v>275</v>
      </c>
      <c r="E210" s="28" t="str">
        <f>Rankings!B263&amp;" "&amp;Rankings!D263</f>
        <v>39 BOL Auf 1 Rang 4</v>
      </c>
      <c r="F210" s="27" t="str">
        <f>Rankings!E263</f>
        <v>TuS Altenheim 2</v>
      </c>
      <c r="G210" s="65" t="s">
        <v>274</v>
      </c>
      <c r="H210" s="40" t="str">
        <f>Rankings!B144&amp;" "&amp;Rankings!D144</f>
        <v>104 BOL Platz 5 Rang 4</v>
      </c>
      <c r="I210" s="39" t="str">
        <f>Rankings!E144</f>
        <v>Bregenz Handball 2</v>
      </c>
      <c r="J210" s="29"/>
      <c r="K210" s="30"/>
      <c r="L210" s="84"/>
      <c r="M210" s="84"/>
      <c r="N210" s="85" t="s">
        <v>275</v>
      </c>
      <c r="O210" s="43" t="str">
        <f>Rankings!B503&amp;" "&amp;Rankings!D503</f>
        <v>33 LL AES Platz 6</v>
      </c>
      <c r="P210" s="42" t="str">
        <f>Rankings!E503</f>
        <v>Turnerschaft Durlach</v>
      </c>
      <c r="Q210" s="65" t="s">
        <v>274</v>
      </c>
      <c r="R210" s="40" t="str">
        <f>Rankings!B431&amp;" "&amp;Rankings!D431</f>
        <v>88 BOL Platz 4 Rang 2</v>
      </c>
      <c r="S210" s="39" t="str">
        <f>Rankings!E431</f>
        <v>SG Weissach im Tal</v>
      </c>
    </row>
    <row r="211" spans="2:19" ht="12" customHeight="1" x14ac:dyDescent="0.35">
      <c r="B211" s="84"/>
      <c r="C211" s="84"/>
      <c r="D211" s="85" t="s">
        <v>275</v>
      </c>
      <c r="E211" s="40" t="str">
        <f>Rankings!B145&amp;" "&amp;Rankings!D145</f>
        <v>105 BOL Platz 5 Rang 5</v>
      </c>
      <c r="F211" s="39" t="str">
        <f>Rankings!E145</f>
        <v>TSV Grabenstetten 1913</v>
      </c>
      <c r="G211" s="65" t="s">
        <v>274</v>
      </c>
      <c r="H211" s="28" t="str">
        <f>Rankings!B262&amp;" "&amp;Rankings!D262</f>
        <v>38 BOL Auf 1 Rang 3</v>
      </c>
      <c r="I211" s="27" t="str">
        <f>Rankings!E262</f>
        <v>TSV Alemannia Freiburg-Zähringen 2</v>
      </c>
      <c r="J211" s="29"/>
      <c r="K211" s="30"/>
      <c r="L211" s="84"/>
      <c r="M211" s="84"/>
      <c r="N211" s="85" t="s">
        <v>275</v>
      </c>
      <c r="O211" s="40" t="str">
        <f>Rankings!B432&amp;" "&amp;Rankings!D432</f>
        <v>89 BOL Platz 4 Rang 3</v>
      </c>
      <c r="P211" s="39" t="str">
        <f>Rankings!E432</f>
        <v>TSV Bartenbach</v>
      </c>
      <c r="Q211" s="65" t="s">
        <v>274</v>
      </c>
      <c r="R211" s="43" t="str">
        <f>Rankings!B502&amp;" "&amp;Rankings!D502</f>
        <v>32 LL AES Platz 5</v>
      </c>
      <c r="S211" s="42" t="str">
        <f>Rankings!E502</f>
        <v xml:space="preserve">SG Neuthard/Büchenau </v>
      </c>
    </row>
    <row r="212" spans="2:19" ht="12" customHeight="1" x14ac:dyDescent="0.35">
      <c r="B212" s="84"/>
      <c r="C212" s="84"/>
      <c r="D212" s="85" t="s">
        <v>275</v>
      </c>
      <c r="E212" s="40" t="str">
        <f>Rankings!B146&amp;" "&amp;Rankings!D146</f>
        <v>106 BOL Platz 5 Rang 6</v>
      </c>
      <c r="F212" s="39" t="str">
        <f>Rankings!E146</f>
        <v>TSV Bönnigheim 2</v>
      </c>
      <c r="G212" s="65" t="s">
        <v>274</v>
      </c>
      <c r="H212" s="43" t="str">
        <f>Rankings!B205&amp;" "&amp;Rankings!D205</f>
        <v>38 LL AES Platz 5</v>
      </c>
      <c r="I212" s="42" t="str">
        <f>Rankings!E205</f>
        <v>TV Gondelsheim</v>
      </c>
      <c r="J212" s="29"/>
      <c r="K212" s="30"/>
      <c r="L212" s="84"/>
      <c r="M212" s="84"/>
      <c r="N212" s="85" t="s">
        <v>275</v>
      </c>
      <c r="O212" s="40" t="str">
        <f>Rankings!B433&amp;" "&amp;Rankings!D433</f>
        <v>90 BOL Platz 4 Rang 4</v>
      </c>
      <c r="P212" s="39" t="str">
        <f>Rankings!E433</f>
        <v>TB Richen</v>
      </c>
      <c r="Q212" s="65" t="s">
        <v>274</v>
      </c>
      <c r="R212" s="28" t="str">
        <f>Rankings!B557&amp;" "&amp;Rankings!D557</f>
        <v>32 BOL Platz 3 Rang 4</v>
      </c>
      <c r="S212" s="27" t="str">
        <f>Rankings!E557</f>
        <v>TV Friesenheim</v>
      </c>
    </row>
    <row r="213" spans="2:19" ht="12" customHeight="1" x14ac:dyDescent="0.35">
      <c r="B213" s="84"/>
      <c r="C213" s="84"/>
      <c r="D213" s="85" t="s">
        <v>275</v>
      </c>
      <c r="E213" s="40" t="str">
        <f>Rankings!B147&amp;" "&amp;Rankings!D147</f>
        <v>107 BOL Platz 5 Rang 7</v>
      </c>
      <c r="F213" s="39" t="str">
        <f>Rankings!E147</f>
        <v>TV Großengstingen</v>
      </c>
      <c r="G213" s="65" t="s">
        <v>274</v>
      </c>
      <c r="H213" s="43" t="str">
        <f>Rankings!B204&amp;" "&amp;Rankings!D204</f>
        <v>37 LL AES Platz 4</v>
      </c>
      <c r="I213" s="42" t="str">
        <f>Rankings!E204</f>
        <v>HC Neuenbürg 2000 2</v>
      </c>
      <c r="J213" s="29"/>
      <c r="K213" s="30"/>
      <c r="L213" s="84"/>
      <c r="M213" s="84"/>
      <c r="N213" s="85" t="s">
        <v>275</v>
      </c>
      <c r="O213" s="40" t="str">
        <f>Rankings!B434&amp;" "&amp;Rankings!D434</f>
        <v>91 BOL Platz 4 Rang 5</v>
      </c>
      <c r="P213" s="39" t="str">
        <f>Rankings!E434</f>
        <v>VfL Pfullingen 2</v>
      </c>
      <c r="Q213" s="65" t="s">
        <v>274</v>
      </c>
      <c r="R213" s="28" t="str">
        <f>Rankings!B556&amp;" "&amp;Rankings!D556</f>
        <v>31 BOL Platz 2 Rang 3</v>
      </c>
      <c r="S213" s="27" t="str">
        <f>Rankings!E556</f>
        <v>Freiburger TS 1844</v>
      </c>
    </row>
    <row r="214" spans="2:19" ht="12" customHeight="1" x14ac:dyDescent="0.35">
      <c r="B214" s="84"/>
      <c r="C214" s="84"/>
      <c r="D214" s="85" t="s">
        <v>275</v>
      </c>
      <c r="E214" s="40" t="str">
        <f>Rankings!B148&amp;" "&amp;Rankings!D148</f>
        <v>108 BOL Platz 5 Rang 8</v>
      </c>
      <c r="F214" s="39" t="str">
        <f>Rankings!E148</f>
        <v>SV Germania Obrigheim</v>
      </c>
      <c r="G214" s="65" t="s">
        <v>274</v>
      </c>
      <c r="H214" s="28" t="str">
        <f>Rankings!B261&amp;" "&amp;Rankings!D261</f>
        <v>37 BOL Auf 1 Rang 2</v>
      </c>
      <c r="I214" s="27" t="str">
        <f>Rankings!E261</f>
        <v>SG Ottersweier/Großweier</v>
      </c>
      <c r="J214" s="29"/>
      <c r="K214" s="30"/>
      <c r="L214" s="84"/>
      <c r="M214" s="84"/>
      <c r="N214" s="85" t="s">
        <v>275</v>
      </c>
      <c r="O214" s="40" t="str">
        <f>Rankings!B435&amp;" "&amp;Rankings!D435</f>
        <v>92 BOL Platz 4 Rang 6</v>
      </c>
      <c r="P214" s="39" t="str">
        <f>Rankings!E435</f>
        <v>HSG Neckartal</v>
      </c>
      <c r="Q214" s="65" t="s">
        <v>274</v>
      </c>
      <c r="R214" s="43" t="str">
        <f>Rankings!B501&amp;" "&amp;Rankings!D501</f>
        <v>31 LL AES Platz 4</v>
      </c>
      <c r="S214" s="42" t="str">
        <f>Rankings!E501</f>
        <v>SG Hambrücken/Weiher</v>
      </c>
    </row>
    <row r="215" spans="2:19" ht="12" customHeight="1" x14ac:dyDescent="0.35">
      <c r="B215" s="84"/>
      <c r="C215" s="84"/>
      <c r="D215" s="85" t="s">
        <v>275</v>
      </c>
      <c r="E215" s="40" t="str">
        <f>Rankings!B149&amp;" "&amp;Rankings!D149</f>
        <v>109 BOL Platz 6 Rang 1</v>
      </c>
      <c r="F215" s="39" t="str">
        <f>Rankings!E149</f>
        <v>HSG Oberer Neckar</v>
      </c>
      <c r="G215" s="65" t="s">
        <v>274</v>
      </c>
      <c r="H215" s="28" t="str">
        <f>Rankings!B260&amp;" "&amp;Rankings!D260</f>
        <v>36 BOL Auf 1 Rang 1</v>
      </c>
      <c r="I215" s="27" t="str">
        <f>Rankings!E260</f>
        <v>HSC Radolfzell</v>
      </c>
      <c r="J215" s="29"/>
      <c r="K215" s="30"/>
      <c r="L215" s="84"/>
      <c r="M215" s="84"/>
      <c r="N215" s="85" t="s">
        <v>275</v>
      </c>
      <c r="O215" s="40" t="str">
        <f>Rankings!B436&amp;" "&amp;Rankings!D436</f>
        <v>93 BOL Platz 4 Rang 7</v>
      </c>
      <c r="P215" s="39" t="str">
        <f>Rankings!E436</f>
        <v>SV Hohenacker-Neustadt 2</v>
      </c>
      <c r="Q215" s="65" t="s">
        <v>274</v>
      </c>
      <c r="R215" s="43" t="str">
        <f>Rankings!B500&amp;" "&amp;Rankings!D500</f>
        <v>30 LL RNT Platz 4</v>
      </c>
      <c r="S215" s="42" t="str">
        <f>Rankings!E500</f>
        <v>SG Nußloch 2</v>
      </c>
    </row>
    <row r="216" spans="2:19" ht="12" customHeight="1" x14ac:dyDescent="0.35">
      <c r="B216" s="84"/>
      <c r="C216" s="84"/>
      <c r="D216" s="85" t="s">
        <v>275</v>
      </c>
      <c r="E216" s="40" t="str">
        <f>Rankings!B150&amp;" "&amp;Rankings!D150</f>
        <v>110 BOL Platz 6 Rang 2</v>
      </c>
      <c r="F216" s="39" t="str">
        <f>Rankings!E150</f>
        <v>TSV Denkendorf 2</v>
      </c>
      <c r="G216" s="65" t="s">
        <v>274</v>
      </c>
      <c r="H216" s="43" t="str">
        <f>Rankings!B203&amp;" "&amp;Rankings!D203</f>
        <v>36 LL RNT Platz 5</v>
      </c>
      <c r="I216" s="42" t="str">
        <f>Rankings!E203</f>
        <v>TSV 1863 Buchen</v>
      </c>
      <c r="J216" s="29"/>
      <c r="K216" s="30"/>
      <c r="L216" s="84"/>
      <c r="M216" s="84"/>
      <c r="N216" s="85" t="s">
        <v>275</v>
      </c>
      <c r="O216" s="40" t="str">
        <f>Rankings!B437&amp;" "&amp;Rankings!D437</f>
        <v>94 BOL Platz 4 Rang 8</v>
      </c>
      <c r="P216" s="39" t="str">
        <f>Rankings!E437</f>
        <v>HC LJG Vogt</v>
      </c>
      <c r="Q216" s="65" t="s">
        <v>274</v>
      </c>
      <c r="R216" s="28" t="str">
        <f>Rankings!B555&amp;" "&amp;Rankings!D555</f>
        <v>30 BOL Platz 1 Rang 2</v>
      </c>
      <c r="S216" s="27" t="str">
        <f>Rankings!E555</f>
        <v>HR Rastatt/Niederbühl</v>
      </c>
    </row>
    <row r="217" spans="2:19" ht="12" customHeight="1" x14ac:dyDescent="0.35">
      <c r="B217" s="84"/>
      <c r="C217" s="84"/>
      <c r="D217" s="85" t="s">
        <v>275</v>
      </c>
      <c r="E217" s="40" t="str">
        <f>Rankings!B151&amp;" "&amp;Rankings!D151</f>
        <v>111 BOL Platz 6 Rang 3</v>
      </c>
      <c r="F217" s="39" t="str">
        <f>Rankings!E151</f>
        <v>TSV Altensteig 2</v>
      </c>
      <c r="G217" s="65" t="s">
        <v>274</v>
      </c>
      <c r="H217" s="43" t="str">
        <f>Rankings!B202&amp;" "&amp;Rankings!D202</f>
        <v>35 LL AES Platz 3</v>
      </c>
      <c r="I217" s="42" t="str">
        <f>Rankings!E202</f>
        <v>SV Langensteinbach</v>
      </c>
      <c r="J217" s="29"/>
      <c r="K217" s="30"/>
      <c r="L217" s="84"/>
      <c r="M217" s="84"/>
      <c r="N217" s="85" t="s">
        <v>275</v>
      </c>
      <c r="O217" s="40" t="str">
        <f>Rankings!B438&amp;" "&amp;Rankings!D438</f>
        <v>95 BOL Platz 5 Rang 1</v>
      </c>
      <c r="P217" s="39" t="str">
        <f>Rankings!E438</f>
        <v>HSG Oberkochen/Königsbronn</v>
      </c>
      <c r="Q217" s="65" t="s">
        <v>274</v>
      </c>
      <c r="R217" s="28" t="str">
        <f>Rankings!B554&amp;" "&amp;Rankings!D554</f>
        <v>29 BOL Platz 1 Rang 1</v>
      </c>
      <c r="S217" s="27" t="str">
        <f>Rankings!E554</f>
        <v>TuS Steißlingen 3</v>
      </c>
    </row>
    <row r="218" spans="2:19" ht="12" customHeight="1" x14ac:dyDescent="0.35">
      <c r="B218" s="86"/>
      <c r="C218" s="86"/>
      <c r="D218" s="88" t="s">
        <v>275</v>
      </c>
      <c r="E218" s="69" t="str">
        <f>Rankings!B152&amp;" "&amp;Rankings!D152</f>
        <v>112 BOL Platz 6 Rang 4</v>
      </c>
      <c r="F218" s="112" t="str">
        <f>Rankings!E152</f>
        <v>SG Hofen/Hüttlingen 2</v>
      </c>
      <c r="G218" s="70" t="s">
        <v>274</v>
      </c>
      <c r="H218" s="56" t="str">
        <f>Rankings!B259&amp;" "&amp;Rankings!D259</f>
        <v>35 LL Platz 11 Rang 1</v>
      </c>
      <c r="I218" s="77" t="str">
        <f>Rankings!E259</f>
        <v>SG Allensbach/Dettingen-Wallhausen</v>
      </c>
      <c r="J218" s="29"/>
      <c r="K218" s="30"/>
      <c r="L218" s="86"/>
      <c r="M218" s="86"/>
      <c r="N218" s="88" t="s">
        <v>275</v>
      </c>
      <c r="O218" s="69" t="str">
        <f>Rankings!B439&amp;" "&amp;Rankings!D439</f>
        <v>96 BOL Platz 5 Rang 2</v>
      </c>
      <c r="P218" s="112" t="str">
        <f>Rankings!E439</f>
        <v>HSG Ebersbach/Bünzwangen</v>
      </c>
      <c r="Q218" s="70" t="s">
        <v>274</v>
      </c>
      <c r="R218" s="81" t="str">
        <f>Rankings!B499&amp;" "&amp;Rankings!D499</f>
        <v>29 LL AES Platz 3</v>
      </c>
      <c r="S218" s="113" t="str">
        <f>Rankings!E499</f>
        <v>HSG Walzbachtal 2</v>
      </c>
    </row>
    <row r="219" spans="2:19" ht="5" customHeight="1" x14ac:dyDescent="0.35"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</row>
    <row r="220" spans="2:19" ht="5" customHeight="1" x14ac:dyDescent="0.35"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</row>
    <row r="221" spans="2:19" ht="12" customHeight="1" x14ac:dyDescent="0.35">
      <c r="B221" s="89" t="s">
        <v>557</v>
      </c>
      <c r="C221" s="47" t="s">
        <v>405</v>
      </c>
      <c r="D221" s="47" t="s">
        <v>271</v>
      </c>
      <c r="E221" s="61" t="str">
        <f t="shared" ref="E221:F223" si="16">E203</f>
        <v>42 LL Platz 12 Rang 2</v>
      </c>
      <c r="F221" s="61" t="str">
        <f t="shared" si="16"/>
        <v>TV St. Georgen/Schw.</v>
      </c>
      <c r="G221" s="62" t="s">
        <v>274</v>
      </c>
      <c r="H221" s="46" t="str">
        <f>H203</f>
        <v>97 BOL Platz 4 Rang 5</v>
      </c>
      <c r="I221" s="46" t="str">
        <f>I203</f>
        <v>TSV Lindau</v>
      </c>
      <c r="J221" s="29"/>
      <c r="K221" s="30"/>
      <c r="L221" s="89" t="s">
        <v>557</v>
      </c>
      <c r="M221" s="47" t="s">
        <v>405</v>
      </c>
      <c r="N221" s="90" t="s">
        <v>271</v>
      </c>
      <c r="O221" s="63" t="str">
        <f t="shared" ref="O221:P223" si="17">O203</f>
        <v>36 LL RNT Platz 6</v>
      </c>
      <c r="P221" s="63" t="str">
        <f t="shared" si="17"/>
        <v>TV Mosbach</v>
      </c>
      <c r="Q221" s="62" t="s">
        <v>274</v>
      </c>
      <c r="R221" s="46" t="str">
        <f>R203</f>
        <v>81 BOL Platz 3 Rang 2</v>
      </c>
      <c r="S221" s="46" t="str">
        <f t="shared" ref="S221:S228" si="18">S203</f>
        <v>Handballregion Bottwar SG 2</v>
      </c>
    </row>
    <row r="222" spans="2:19" ht="12" customHeight="1" x14ac:dyDescent="0.35">
      <c r="B222" s="23" t="s">
        <v>558</v>
      </c>
      <c r="C222" s="31" t="s">
        <v>559</v>
      </c>
      <c r="D222" s="24" t="s">
        <v>271</v>
      </c>
      <c r="E222" s="43" t="str">
        <f t="shared" si="16"/>
        <v>42 LL RNT Platz 7</v>
      </c>
      <c r="F222" s="43" t="str">
        <f t="shared" si="16"/>
        <v>HA Neckarelz</v>
      </c>
      <c r="G222" s="65" t="s">
        <v>274</v>
      </c>
      <c r="H222" s="40" t="str">
        <f t="shared" ref="H222:I222" si="19">H204</f>
        <v>98 BOL Platz 4 Rang 6</v>
      </c>
      <c r="I222" s="40" t="str">
        <f t="shared" si="19"/>
        <v>HSG Hossingen-Meßstetten</v>
      </c>
      <c r="J222" s="29"/>
      <c r="K222" s="30"/>
      <c r="L222" s="23" t="s">
        <v>558</v>
      </c>
      <c r="M222" s="31" t="s">
        <v>559</v>
      </c>
      <c r="N222" s="31" t="s">
        <v>271</v>
      </c>
      <c r="O222" s="28" t="str">
        <f t="shared" si="17"/>
        <v>36 LL Platz 11 Rang 1</v>
      </c>
      <c r="P222" s="28" t="str">
        <f t="shared" si="17"/>
        <v>HSG Meißenheim/Nonnenweier</v>
      </c>
      <c r="Q222" s="65" t="s">
        <v>274</v>
      </c>
      <c r="R222" s="40" t="str">
        <f t="shared" ref="R222" si="20">R204</f>
        <v>82 BOL Platz 3 Rang 3</v>
      </c>
      <c r="S222" s="40" t="str">
        <f t="shared" si="18"/>
        <v>HSG Böblingen/Sindelfingen 2</v>
      </c>
    </row>
    <row r="223" spans="2:19" ht="12" customHeight="1" x14ac:dyDescent="0.35">
      <c r="B223" s="24"/>
      <c r="C223" s="31"/>
      <c r="D223" s="24" t="s">
        <v>271</v>
      </c>
      <c r="E223" s="43" t="str">
        <f t="shared" si="16"/>
        <v>41 LL AES Platz 7</v>
      </c>
      <c r="F223" s="43" t="str">
        <f t="shared" si="16"/>
        <v xml:space="preserve">SG Neuthard/Büchenau </v>
      </c>
      <c r="G223" s="65" t="s">
        <v>274</v>
      </c>
      <c r="H223" s="40" t="str">
        <f t="shared" ref="H223:I223" si="21">H205</f>
        <v>99 BOL Platz 4 Rang 7</v>
      </c>
      <c r="I223" s="40" t="str">
        <f t="shared" si="21"/>
        <v>HSG Heilbronn</v>
      </c>
      <c r="J223" s="29"/>
      <c r="K223" s="30"/>
      <c r="L223" s="24"/>
      <c r="M223" s="31"/>
      <c r="N223" s="31" t="s">
        <v>271</v>
      </c>
      <c r="O223" s="28" t="str">
        <f t="shared" si="17"/>
        <v>35 LL Platz 10 Rang 2</v>
      </c>
      <c r="P223" s="28" t="str">
        <f t="shared" si="17"/>
        <v>HSG Oberer Hegau</v>
      </c>
      <c r="Q223" s="65" t="s">
        <v>274</v>
      </c>
      <c r="R223" s="40" t="str">
        <f t="shared" ref="R223" si="22">R205</f>
        <v>83 BOL Platz 3 Rang 4</v>
      </c>
      <c r="S223" s="40" t="str">
        <f t="shared" si="18"/>
        <v>HSG Friedrichshafen-Fischbach</v>
      </c>
    </row>
    <row r="224" spans="2:19" ht="12" customHeight="1" x14ac:dyDescent="0.35">
      <c r="B224" s="24"/>
      <c r="C224" s="24"/>
      <c r="D224" s="24" t="s">
        <v>271</v>
      </c>
      <c r="E224" s="28" t="str">
        <f t="shared" ref="E224:F224" si="23">E206</f>
        <v>41 LL Platz 12 Rang 1</v>
      </c>
      <c r="F224" s="28" t="str">
        <f t="shared" si="23"/>
        <v>HandBall Löwen Heitersheim</v>
      </c>
      <c r="G224" s="65" t="s">
        <v>274</v>
      </c>
      <c r="H224" s="40" t="str">
        <f t="shared" ref="H224:I224" si="24">H206</f>
        <v>100 BOL Platz 4 Rang 8</v>
      </c>
      <c r="I224" s="40" t="str">
        <f t="shared" si="24"/>
        <v>HSG Strohgäu</v>
      </c>
      <c r="J224" s="29"/>
      <c r="K224" s="30"/>
      <c r="L224" s="24"/>
      <c r="M224" s="24"/>
      <c r="N224" s="31" t="s">
        <v>271</v>
      </c>
      <c r="O224" s="43" t="str">
        <f t="shared" ref="O224:P224" si="25">O206</f>
        <v>35 LL AES Platz 7</v>
      </c>
      <c r="P224" s="43" t="str">
        <f t="shared" si="25"/>
        <v>SG Pforzheim/Eutingen</v>
      </c>
      <c r="Q224" s="65" t="s">
        <v>274</v>
      </c>
      <c r="R224" s="40" t="str">
        <f t="shared" ref="R224" si="26">R206</f>
        <v>84 BOL Platz 3 Rang 5</v>
      </c>
      <c r="S224" s="40" t="str">
        <f t="shared" si="18"/>
        <v>SV Fellbach</v>
      </c>
    </row>
    <row r="225" spans="2:19" ht="12" customHeight="1" x14ac:dyDescent="0.35">
      <c r="B225" s="24"/>
      <c r="C225" s="24"/>
      <c r="D225" s="24" t="s">
        <v>271</v>
      </c>
      <c r="E225" s="28" t="str">
        <f t="shared" ref="E225:F225" si="27">E207</f>
        <v>40 LL Platz 11 Rang 2</v>
      </c>
      <c r="F225" s="28" t="str">
        <f t="shared" si="27"/>
        <v>SG Gutach/Wolfach</v>
      </c>
      <c r="G225" s="65" t="s">
        <v>274</v>
      </c>
      <c r="H225" s="40" t="str">
        <f t="shared" ref="H225:I225" si="28">H207</f>
        <v>101 BOL Platz 5 Rang 1</v>
      </c>
      <c r="I225" s="40" t="str">
        <f t="shared" si="28"/>
        <v>HSG Bargau/Bettringen</v>
      </c>
      <c r="J225" s="29"/>
      <c r="K225" s="30"/>
      <c r="L225" s="24"/>
      <c r="M225" s="24"/>
      <c r="N225" s="31" t="s">
        <v>271</v>
      </c>
      <c r="O225" s="43" t="str">
        <f t="shared" ref="O225:P225" si="29">O207</f>
        <v>34 LL RNT Platz 5</v>
      </c>
      <c r="P225" s="43" t="str">
        <f t="shared" si="29"/>
        <v>Saase3 Leutershausen Handball 2</v>
      </c>
      <c r="Q225" s="65" t="s">
        <v>274</v>
      </c>
      <c r="R225" s="40" t="str">
        <f t="shared" ref="R225" si="30">R207</f>
        <v>85 BOL Platz 3 Rang 6</v>
      </c>
      <c r="S225" s="40" t="str">
        <f t="shared" si="18"/>
        <v>HSG Baar 2</v>
      </c>
    </row>
    <row r="226" spans="2:19" ht="12" customHeight="1" x14ac:dyDescent="0.35">
      <c r="B226" s="24"/>
      <c r="C226" s="24"/>
      <c r="D226" s="24" t="s">
        <v>271</v>
      </c>
      <c r="E226" s="43" t="str">
        <f t="shared" ref="E226:F226" si="31">E208</f>
        <v>40 LL RNT Platz 6</v>
      </c>
      <c r="F226" s="43" t="str">
        <f t="shared" si="31"/>
        <v>HSG St. Leon/Reilingen</v>
      </c>
      <c r="G226" s="65" t="s">
        <v>274</v>
      </c>
      <c r="H226" s="40" t="str">
        <f t="shared" ref="H226:I226" si="32">H208</f>
        <v>102 BOL Platz 5 Rang 2</v>
      </c>
      <c r="I226" s="40" t="str">
        <f t="shared" si="32"/>
        <v>VfH 87 Schwenningen</v>
      </c>
      <c r="J226" s="29"/>
      <c r="K226" s="30"/>
      <c r="L226" s="24"/>
      <c r="M226" s="24"/>
      <c r="N226" s="31" t="s">
        <v>271</v>
      </c>
      <c r="O226" s="28" t="str">
        <f t="shared" ref="O226:P226" si="33">O208</f>
        <v>34 LL Platz 10 Rang 1</v>
      </c>
      <c r="P226" s="28" t="str">
        <f t="shared" si="33"/>
        <v>HSG Hanauerland</v>
      </c>
      <c r="Q226" s="65" t="s">
        <v>274</v>
      </c>
      <c r="R226" s="40" t="str">
        <f t="shared" ref="R226" si="34">R208</f>
        <v>86 BOL Platz 3 Rang 7</v>
      </c>
      <c r="S226" s="40" t="str">
        <f t="shared" si="18"/>
        <v>TSG Schwäbisch Hall</v>
      </c>
    </row>
    <row r="227" spans="2:19" ht="12" customHeight="1" x14ac:dyDescent="0.35">
      <c r="B227" s="24"/>
      <c r="C227" s="24"/>
      <c r="D227" s="24" t="s">
        <v>271</v>
      </c>
      <c r="E227" s="43" t="str">
        <f t="shared" ref="E227:F227" si="35">E209</f>
        <v>39 LL AES Platz 6</v>
      </c>
      <c r="F227" s="43" t="str">
        <f t="shared" si="35"/>
        <v>SG KIT/MTV Karlsruhe</v>
      </c>
      <c r="G227" s="65" t="s">
        <v>274</v>
      </c>
      <c r="H227" s="40" t="str">
        <f t="shared" ref="H227:I227" si="36">H209</f>
        <v>103 BOL Platz 5 Rang 3</v>
      </c>
      <c r="I227" s="40" t="str">
        <f t="shared" si="36"/>
        <v>TSV Schmiden 1902 2</v>
      </c>
      <c r="J227" s="29"/>
      <c r="K227" s="30"/>
      <c r="L227" s="24"/>
      <c r="M227" s="24"/>
      <c r="N227" s="31" t="s">
        <v>271</v>
      </c>
      <c r="O227" s="28" t="str">
        <f t="shared" ref="O227:P227" si="37">O209</f>
        <v>33 LL Platz 9 Rang 2</v>
      </c>
      <c r="P227" s="28" t="str">
        <f t="shared" si="37"/>
        <v>HSG Freiburg 3</v>
      </c>
      <c r="Q227" s="65" t="s">
        <v>274</v>
      </c>
      <c r="R227" s="40" t="str">
        <f t="shared" ref="R227" si="38">R209</f>
        <v>87 BOL Platz 4 Rang 1</v>
      </c>
      <c r="S227" s="40" t="str">
        <f t="shared" si="18"/>
        <v>TSV Denkendorf 2</v>
      </c>
    </row>
    <row r="228" spans="2:19" ht="12" customHeight="1" x14ac:dyDescent="0.35">
      <c r="B228" s="24"/>
      <c r="C228" s="24"/>
      <c r="D228" s="24" t="s">
        <v>271</v>
      </c>
      <c r="E228" s="28" t="str">
        <f>E210</f>
        <v>39 BOL Auf 1 Rang 4</v>
      </c>
      <c r="F228" s="28" t="str">
        <f>F210</f>
        <v>TuS Altenheim 2</v>
      </c>
      <c r="G228" s="65" t="s">
        <v>274</v>
      </c>
      <c r="H228" s="40" t="str">
        <f t="shared" ref="H228:I228" si="39">H210</f>
        <v>104 BOL Platz 5 Rang 4</v>
      </c>
      <c r="I228" s="40" t="str">
        <f t="shared" si="39"/>
        <v>Bregenz Handball 2</v>
      </c>
      <c r="J228" s="29"/>
      <c r="K228" s="30"/>
      <c r="L228" s="24"/>
      <c r="M228" s="24"/>
      <c r="N228" s="31" t="s">
        <v>271</v>
      </c>
      <c r="O228" s="43" t="str">
        <f>O210</f>
        <v>33 LL AES Platz 6</v>
      </c>
      <c r="P228" s="43" t="str">
        <f>P210</f>
        <v>Turnerschaft Durlach</v>
      </c>
      <c r="Q228" s="65" t="s">
        <v>274</v>
      </c>
      <c r="R228" s="40" t="str">
        <f t="shared" ref="R228" si="40">R210</f>
        <v>88 BOL Platz 4 Rang 2</v>
      </c>
      <c r="S228" s="40" t="str">
        <f t="shared" si="18"/>
        <v>SG Weissach im Tal</v>
      </c>
    </row>
    <row r="229" spans="2:19" ht="12" customHeight="1" x14ac:dyDescent="0.35">
      <c r="B229" s="24"/>
      <c r="C229" s="24"/>
      <c r="D229" s="24" t="s">
        <v>271</v>
      </c>
      <c r="E229" s="40" t="str">
        <f>E211</f>
        <v>105 BOL Platz 5 Rang 5</v>
      </c>
      <c r="F229" s="40" t="str">
        <f>F211</f>
        <v>TSV Grabenstetten 1913</v>
      </c>
      <c r="G229" s="65" t="s">
        <v>274</v>
      </c>
      <c r="H229" s="28" t="str">
        <f t="shared" ref="H229:I231" si="41">H211</f>
        <v>38 BOL Auf 1 Rang 3</v>
      </c>
      <c r="I229" s="28" t="str">
        <f t="shared" si="41"/>
        <v>TSV Alemannia Freiburg-Zähringen 2</v>
      </c>
      <c r="J229" s="29"/>
      <c r="K229" s="30"/>
      <c r="L229" s="24"/>
      <c r="M229" s="24"/>
      <c r="N229" s="31" t="s">
        <v>271</v>
      </c>
      <c r="O229" s="40" t="str">
        <f>O211</f>
        <v>89 BOL Platz 4 Rang 3</v>
      </c>
      <c r="P229" s="40" t="str">
        <f t="shared" ref="P229:P236" si="42">P211</f>
        <v>TSV Bartenbach</v>
      </c>
      <c r="Q229" s="65" t="s">
        <v>274</v>
      </c>
      <c r="R229" s="43" t="str">
        <f>R211</f>
        <v>32 LL AES Platz 5</v>
      </c>
      <c r="S229" s="43" t="str">
        <f>S211</f>
        <v xml:space="preserve">SG Neuthard/Büchenau </v>
      </c>
    </row>
    <row r="230" spans="2:19" ht="12" customHeight="1" x14ac:dyDescent="0.35">
      <c r="B230" s="24"/>
      <c r="C230" s="24"/>
      <c r="D230" s="24" t="s">
        <v>271</v>
      </c>
      <c r="E230" s="40" t="str">
        <f t="shared" ref="E230:E235" si="43">E212</f>
        <v>106 BOL Platz 5 Rang 6</v>
      </c>
      <c r="F230" s="40" t="str">
        <f t="shared" ref="E230:F230" si="44">F212</f>
        <v>TSV Bönnigheim 2</v>
      </c>
      <c r="G230" s="65" t="s">
        <v>274</v>
      </c>
      <c r="H230" s="43" t="str">
        <f t="shared" si="41"/>
        <v>38 LL AES Platz 5</v>
      </c>
      <c r="I230" s="43" t="str">
        <f t="shared" si="41"/>
        <v>TV Gondelsheim</v>
      </c>
      <c r="J230" s="29"/>
      <c r="K230" s="30"/>
      <c r="L230" s="24"/>
      <c r="M230" s="24"/>
      <c r="N230" s="31" t="s">
        <v>271</v>
      </c>
      <c r="O230" s="40" t="str">
        <f t="shared" ref="O230" si="45">O212</f>
        <v>90 BOL Platz 4 Rang 4</v>
      </c>
      <c r="P230" s="40" t="str">
        <f t="shared" si="42"/>
        <v>TB Richen</v>
      </c>
      <c r="Q230" s="65" t="s">
        <v>274</v>
      </c>
      <c r="R230" s="28" t="str">
        <f t="shared" ref="R230:S230" si="46">R212</f>
        <v>32 BOL Platz 3 Rang 4</v>
      </c>
      <c r="S230" s="28" t="str">
        <f t="shared" si="46"/>
        <v>TV Friesenheim</v>
      </c>
    </row>
    <row r="231" spans="2:19" ht="12" customHeight="1" x14ac:dyDescent="0.35">
      <c r="B231" s="24"/>
      <c r="C231" s="24"/>
      <c r="D231" s="24" t="s">
        <v>271</v>
      </c>
      <c r="E231" s="40" t="str">
        <f t="shared" si="43"/>
        <v>107 BOL Platz 5 Rang 7</v>
      </c>
      <c r="F231" s="40" t="str">
        <f t="shared" ref="E231:F231" si="47">F213</f>
        <v>TV Großengstingen</v>
      </c>
      <c r="G231" s="65" t="s">
        <v>274</v>
      </c>
      <c r="H231" s="43" t="str">
        <f t="shared" si="41"/>
        <v>37 LL AES Platz 4</v>
      </c>
      <c r="I231" s="43" t="str">
        <f t="shared" si="41"/>
        <v>HC Neuenbürg 2000 2</v>
      </c>
      <c r="J231" s="29"/>
      <c r="K231" s="30"/>
      <c r="L231" s="24"/>
      <c r="M231" s="24"/>
      <c r="N231" s="31" t="s">
        <v>271</v>
      </c>
      <c r="O231" s="40" t="str">
        <f t="shared" ref="O231" si="48">O213</f>
        <v>91 BOL Platz 4 Rang 5</v>
      </c>
      <c r="P231" s="40" t="str">
        <f t="shared" si="42"/>
        <v>VfL Pfullingen 2</v>
      </c>
      <c r="Q231" s="65" t="s">
        <v>274</v>
      </c>
      <c r="R231" s="28" t="str">
        <f t="shared" ref="R231:S231" si="49">R213</f>
        <v>31 BOL Platz 2 Rang 3</v>
      </c>
      <c r="S231" s="28" t="str">
        <f t="shared" si="49"/>
        <v>Freiburger TS 1844</v>
      </c>
    </row>
    <row r="232" spans="2:19" ht="12" customHeight="1" x14ac:dyDescent="0.35">
      <c r="B232" s="24"/>
      <c r="C232" s="24"/>
      <c r="D232" s="24" t="s">
        <v>271</v>
      </c>
      <c r="E232" s="40" t="str">
        <f t="shared" si="43"/>
        <v>108 BOL Platz 5 Rang 8</v>
      </c>
      <c r="F232" s="40" t="str">
        <f t="shared" ref="E232:F232" si="50">F214</f>
        <v>SV Germania Obrigheim</v>
      </c>
      <c r="G232" s="65" t="s">
        <v>274</v>
      </c>
      <c r="H232" s="28" t="str">
        <f t="shared" ref="H232:I232" si="51">H214</f>
        <v>37 BOL Auf 1 Rang 2</v>
      </c>
      <c r="I232" s="28" t="str">
        <f t="shared" si="51"/>
        <v>SG Ottersweier/Großweier</v>
      </c>
      <c r="J232" s="29"/>
      <c r="K232" s="30"/>
      <c r="L232" s="24"/>
      <c r="M232" s="24"/>
      <c r="N232" s="31" t="s">
        <v>271</v>
      </c>
      <c r="O232" s="40" t="str">
        <f t="shared" ref="O232" si="52">O214</f>
        <v>92 BOL Platz 4 Rang 6</v>
      </c>
      <c r="P232" s="40" t="str">
        <f t="shared" si="42"/>
        <v>HSG Neckartal</v>
      </c>
      <c r="Q232" s="65" t="s">
        <v>274</v>
      </c>
      <c r="R232" s="43" t="str">
        <f t="shared" ref="R232:S232" si="53">R214</f>
        <v>31 LL AES Platz 4</v>
      </c>
      <c r="S232" s="43" t="str">
        <f t="shared" si="53"/>
        <v>SG Hambrücken/Weiher</v>
      </c>
    </row>
    <row r="233" spans="2:19" ht="12" customHeight="1" x14ac:dyDescent="0.35">
      <c r="B233" s="24"/>
      <c r="C233" s="24"/>
      <c r="D233" s="24" t="s">
        <v>271</v>
      </c>
      <c r="E233" s="40" t="str">
        <f t="shared" si="43"/>
        <v>109 BOL Platz 6 Rang 1</v>
      </c>
      <c r="F233" s="40" t="str">
        <f t="shared" ref="E233:F233" si="54">F215</f>
        <v>HSG Oberer Neckar</v>
      </c>
      <c r="G233" s="65" t="s">
        <v>274</v>
      </c>
      <c r="H233" s="28" t="str">
        <f t="shared" ref="H233:I233" si="55">H215</f>
        <v>36 BOL Auf 1 Rang 1</v>
      </c>
      <c r="I233" s="28" t="str">
        <f t="shared" si="55"/>
        <v>HSC Radolfzell</v>
      </c>
      <c r="J233" s="29"/>
      <c r="K233" s="30"/>
      <c r="L233" s="24"/>
      <c r="M233" s="24"/>
      <c r="N233" s="31" t="s">
        <v>271</v>
      </c>
      <c r="O233" s="40" t="str">
        <f t="shared" ref="O233" si="56">O215</f>
        <v>93 BOL Platz 4 Rang 7</v>
      </c>
      <c r="P233" s="40" t="str">
        <f t="shared" si="42"/>
        <v>SV Hohenacker-Neustadt 2</v>
      </c>
      <c r="Q233" s="65" t="s">
        <v>274</v>
      </c>
      <c r="R233" s="43" t="str">
        <f t="shared" ref="R233:S233" si="57">R215</f>
        <v>30 LL RNT Platz 4</v>
      </c>
      <c r="S233" s="43" t="str">
        <f t="shared" si="57"/>
        <v>SG Nußloch 2</v>
      </c>
    </row>
    <row r="234" spans="2:19" ht="12" customHeight="1" x14ac:dyDescent="0.35">
      <c r="B234" s="24"/>
      <c r="C234" s="24"/>
      <c r="D234" s="24" t="s">
        <v>271</v>
      </c>
      <c r="E234" s="40" t="str">
        <f t="shared" si="43"/>
        <v>110 BOL Platz 6 Rang 2</v>
      </c>
      <c r="F234" s="40" t="str">
        <f t="shared" ref="E234:F234" si="58">F216</f>
        <v>TSV Denkendorf 2</v>
      </c>
      <c r="G234" s="65" t="s">
        <v>274</v>
      </c>
      <c r="H234" s="43" t="str">
        <f t="shared" ref="H234:I234" si="59">H216</f>
        <v>36 LL RNT Platz 5</v>
      </c>
      <c r="I234" s="43" t="str">
        <f t="shared" si="59"/>
        <v>TSV 1863 Buchen</v>
      </c>
      <c r="J234" s="29"/>
      <c r="K234" s="30"/>
      <c r="L234" s="24"/>
      <c r="M234" s="24"/>
      <c r="N234" s="31" t="s">
        <v>271</v>
      </c>
      <c r="O234" s="40" t="str">
        <f t="shared" ref="O234" si="60">O216</f>
        <v>94 BOL Platz 4 Rang 8</v>
      </c>
      <c r="P234" s="40" t="str">
        <f t="shared" si="42"/>
        <v>HC LJG Vogt</v>
      </c>
      <c r="Q234" s="65" t="s">
        <v>274</v>
      </c>
      <c r="R234" s="28" t="str">
        <f t="shared" ref="R234:S234" si="61">R216</f>
        <v>30 BOL Platz 1 Rang 2</v>
      </c>
      <c r="S234" s="28" t="str">
        <f t="shared" si="61"/>
        <v>HR Rastatt/Niederbühl</v>
      </c>
    </row>
    <row r="235" spans="2:19" ht="12" customHeight="1" x14ac:dyDescent="0.35">
      <c r="B235" s="24"/>
      <c r="C235" s="24"/>
      <c r="D235" s="24" t="s">
        <v>271</v>
      </c>
      <c r="E235" s="40" t="str">
        <f t="shared" si="43"/>
        <v>111 BOL Platz 6 Rang 3</v>
      </c>
      <c r="F235" s="40" t="str">
        <f t="shared" ref="E235:F235" si="62">F217</f>
        <v>TSV Altensteig 2</v>
      </c>
      <c r="G235" s="65" t="s">
        <v>274</v>
      </c>
      <c r="H235" s="43" t="str">
        <f t="shared" ref="H235:I235" si="63">H217</f>
        <v>35 LL AES Platz 3</v>
      </c>
      <c r="I235" s="43" t="str">
        <f t="shared" si="63"/>
        <v>SV Langensteinbach</v>
      </c>
      <c r="J235" s="29"/>
      <c r="K235" s="30"/>
      <c r="L235" s="24"/>
      <c r="M235" s="24"/>
      <c r="N235" s="31" t="s">
        <v>271</v>
      </c>
      <c r="O235" s="40" t="str">
        <f t="shared" ref="O235" si="64">O217</f>
        <v>95 BOL Platz 5 Rang 1</v>
      </c>
      <c r="P235" s="40" t="str">
        <f t="shared" si="42"/>
        <v>HSG Oberkochen/Königsbronn</v>
      </c>
      <c r="Q235" s="65" t="s">
        <v>274</v>
      </c>
      <c r="R235" s="28" t="str">
        <f t="shared" ref="R235:S235" si="65">R217</f>
        <v>29 BOL Platz 1 Rang 1</v>
      </c>
      <c r="S235" s="28" t="str">
        <f t="shared" si="65"/>
        <v>TuS Steißlingen 3</v>
      </c>
    </row>
    <row r="236" spans="2:19" ht="12" customHeight="1" x14ac:dyDescent="0.35">
      <c r="B236" s="24"/>
      <c r="C236" s="58"/>
      <c r="D236" s="58" t="s">
        <v>271</v>
      </c>
      <c r="E236" s="69" t="str">
        <f t="shared" ref="E236:F236" si="66">E218</f>
        <v>112 BOL Platz 6 Rang 4</v>
      </c>
      <c r="F236" s="69" t="str">
        <f t="shared" si="66"/>
        <v>SG Hofen/Hüttlingen 2</v>
      </c>
      <c r="G236" s="70" t="s">
        <v>274</v>
      </c>
      <c r="H236" s="56" t="str">
        <f>H218</f>
        <v>35 LL Platz 11 Rang 1</v>
      </c>
      <c r="I236" s="56" t="str">
        <f>I218</f>
        <v>SG Allensbach/Dettingen-Wallhausen</v>
      </c>
      <c r="J236" s="29"/>
      <c r="K236" s="30"/>
      <c r="L236" s="58"/>
      <c r="M236" s="58"/>
      <c r="N236" s="91" t="s">
        <v>271</v>
      </c>
      <c r="O236" s="40" t="str">
        <f t="shared" ref="O236" si="67">O218</f>
        <v>96 BOL Platz 5 Rang 2</v>
      </c>
      <c r="P236" s="40" t="str">
        <f t="shared" si="42"/>
        <v>HSG Ebersbach/Bünzwangen</v>
      </c>
      <c r="Q236" s="70" t="s">
        <v>274</v>
      </c>
      <c r="R236" s="81" t="str">
        <f>R218</f>
        <v>29 LL AES Platz 3</v>
      </c>
      <c r="S236" s="81" t="str">
        <f>S218</f>
        <v>HSG Walzbachtal 2</v>
      </c>
    </row>
    <row r="237" spans="2:19" ht="12" customHeight="1" x14ac:dyDescent="0.35">
      <c r="B237" s="24"/>
      <c r="C237" s="44" t="s">
        <v>0</v>
      </c>
      <c r="D237" s="45"/>
      <c r="E237" s="46" t="str">
        <f>Rankings!I109</f>
        <v>LL Platz 9 Rang 1</v>
      </c>
      <c r="F237" s="44" t="str">
        <f>Rankings!N109</f>
        <v>TSV Willsbach</v>
      </c>
      <c r="G237" s="46"/>
      <c r="H237" s="24"/>
      <c r="I237" s="24"/>
      <c r="J237" s="24"/>
      <c r="K237" s="24"/>
      <c r="L237" s="24"/>
      <c r="M237" s="44" t="s">
        <v>0</v>
      </c>
      <c r="N237" s="44"/>
      <c r="O237" s="46" t="str">
        <f>Rankings!I404</f>
        <v>LL Platz 9 Rang 1</v>
      </c>
      <c r="P237" s="44" t="str">
        <f>Rankings!N404</f>
        <v>HSG Kochertürn/Stein</v>
      </c>
      <c r="Q237" s="46"/>
      <c r="R237" s="24"/>
      <c r="S237" s="24"/>
    </row>
    <row r="238" spans="2:19" ht="12" customHeight="1" x14ac:dyDescent="0.35">
      <c r="B238" s="24"/>
      <c r="C238" s="41"/>
      <c r="D238" s="49"/>
      <c r="E238" s="40" t="str">
        <f>Rankings!I110</f>
        <v>LL Platz 9 Rang 2</v>
      </c>
      <c r="F238" s="39" t="str">
        <f>Rankings!N110</f>
        <v>VfL Waiblingen Handball 2</v>
      </c>
      <c r="G238" s="40"/>
      <c r="H238" s="24"/>
      <c r="I238" s="24"/>
      <c r="J238" s="24"/>
      <c r="K238" s="24"/>
      <c r="L238" s="24"/>
      <c r="M238" s="39"/>
      <c r="N238" s="39"/>
      <c r="O238" s="40" t="str">
        <f>Rankings!I405</f>
        <v>LL Platz 9 Rang 2</v>
      </c>
      <c r="P238" s="39" t="str">
        <f>Rankings!N405</f>
        <v>HSG Ermstal</v>
      </c>
      <c r="Q238" s="40"/>
      <c r="R238" s="24"/>
      <c r="S238" s="24"/>
    </row>
    <row r="239" spans="2:19" ht="12" customHeight="1" x14ac:dyDescent="0.35">
      <c r="B239" s="24"/>
      <c r="C239" s="40"/>
      <c r="D239" s="49"/>
      <c r="E239" s="40" t="str">
        <f>Rankings!I111</f>
        <v>LL Platz 9 Rang 3</v>
      </c>
      <c r="F239" s="39" t="str">
        <f>Rankings!N111</f>
        <v>SG Hirsau/Calw/Bad Liebenzell</v>
      </c>
      <c r="G239" s="40"/>
      <c r="H239" s="24"/>
      <c r="I239" s="24"/>
      <c r="J239" s="24"/>
      <c r="K239" s="24"/>
      <c r="L239" s="24"/>
      <c r="M239" s="39"/>
      <c r="N239" s="39"/>
      <c r="O239" s="40" t="str">
        <f>Rankings!I406</f>
        <v>LL Platz 9 Rang 3</v>
      </c>
      <c r="P239" s="39" t="str">
        <f>Rankings!N406</f>
        <v>TSG Söflingen &amp; Ehingen</v>
      </c>
      <c r="Q239" s="40"/>
      <c r="R239" s="24"/>
      <c r="S239" s="24"/>
    </row>
    <row r="240" spans="2:19" ht="12" customHeight="1" x14ac:dyDescent="0.35">
      <c r="B240" s="24"/>
      <c r="C240" s="40"/>
      <c r="D240" s="49"/>
      <c r="E240" s="40" t="str">
        <f>Rankings!I112</f>
        <v>LL Platz 9 Rang 4</v>
      </c>
      <c r="F240" s="39" t="str">
        <f>Rankings!N112</f>
        <v>HC Hohenems</v>
      </c>
      <c r="G240" s="40"/>
      <c r="H240" s="24"/>
      <c r="I240" s="24"/>
      <c r="J240" s="24"/>
      <c r="K240" s="24"/>
      <c r="L240" s="24"/>
      <c r="M240" s="39"/>
      <c r="N240" s="39"/>
      <c r="O240" s="40" t="str">
        <f>Rankings!I407</f>
        <v>LL Platz 9 Rang 4</v>
      </c>
      <c r="P240" s="39" t="str">
        <f>Rankings!N407</f>
        <v>HWB Handball Winterlingen-Bitz</v>
      </c>
      <c r="Q240" s="40"/>
      <c r="R240" s="24"/>
      <c r="S240" s="24"/>
    </row>
    <row r="241" spans="2:19" ht="12" customHeight="1" x14ac:dyDescent="0.35">
      <c r="B241" s="24"/>
      <c r="C241" s="40"/>
      <c r="D241" s="49"/>
      <c r="E241" s="40" t="str">
        <f>Rankings!I113</f>
        <v>LL Platz 10 Rang 1</v>
      </c>
      <c r="F241" s="39" t="str">
        <f>Rankings!N113</f>
        <v>TSB Schwäbisch Gmünd 2</v>
      </c>
      <c r="G241" s="40"/>
      <c r="H241" s="24"/>
      <c r="I241" s="24"/>
      <c r="J241" s="24"/>
      <c r="K241" s="24"/>
      <c r="L241" s="24"/>
      <c r="M241" s="39"/>
      <c r="N241" s="39"/>
      <c r="O241" s="40" t="str">
        <f>Rankings!I408</f>
        <v>LL Platz 10 Rang 1</v>
      </c>
      <c r="P241" s="39" t="str">
        <f>Rankings!N408</f>
        <v>TSV Hardthausen</v>
      </c>
      <c r="Q241" s="40"/>
      <c r="R241" s="24"/>
      <c r="S241" s="24"/>
    </row>
    <row r="242" spans="2:19" ht="12" customHeight="1" x14ac:dyDescent="0.35">
      <c r="B242" s="24"/>
      <c r="C242" s="40"/>
      <c r="D242" s="49"/>
      <c r="E242" s="40" t="str">
        <f>Rankings!I114</f>
        <v>LL Platz 10 Rang 2</v>
      </c>
      <c r="F242" s="39" t="str">
        <f>Rankings!N114</f>
        <v>Handballregion Bottwar SG 2</v>
      </c>
      <c r="G242" s="40"/>
      <c r="H242" s="24"/>
      <c r="I242" s="24"/>
      <c r="J242" s="24"/>
      <c r="K242" s="24"/>
      <c r="L242" s="24"/>
      <c r="M242" s="39"/>
      <c r="N242" s="39"/>
      <c r="O242" s="40" t="str">
        <f>Rankings!I409</f>
        <v>LL Platz 10 Rang 2</v>
      </c>
      <c r="P242" s="39" t="str">
        <f>Rankings!N409</f>
        <v>TEAM Esslingen</v>
      </c>
      <c r="Q242" s="40"/>
      <c r="R242" s="24"/>
      <c r="S242" s="24"/>
    </row>
    <row r="243" spans="2:19" ht="12" customHeight="1" x14ac:dyDescent="0.35">
      <c r="B243" s="24"/>
      <c r="C243" s="40"/>
      <c r="D243" s="49"/>
      <c r="E243" s="40" t="str">
        <f>Rankings!I115</f>
        <v>LL Platz 10 Rang 3</v>
      </c>
      <c r="F243" s="39" t="str">
        <f>Rankings!N115</f>
        <v>TSG Söflingen 2</v>
      </c>
      <c r="G243" s="40"/>
      <c r="H243" s="24"/>
      <c r="I243" s="24"/>
      <c r="J243" s="24"/>
      <c r="K243" s="24"/>
      <c r="L243" s="24"/>
      <c r="M243" s="39"/>
      <c r="N243" s="39"/>
      <c r="O243" s="40" t="str">
        <f>Rankings!I410</f>
        <v>LL Platz 10 Rang 3</v>
      </c>
      <c r="P243" s="39" t="str">
        <f>Rankings!N410</f>
        <v>HSG Fridingen/Mühlheim 2</v>
      </c>
      <c r="Q243" s="40"/>
      <c r="R243" s="24"/>
      <c r="S243" s="24"/>
    </row>
    <row r="244" spans="2:19" ht="12" customHeight="1" x14ac:dyDescent="0.35">
      <c r="B244" s="24"/>
      <c r="C244" s="40"/>
      <c r="D244" s="49"/>
      <c r="E244" s="40" t="str">
        <f>Rankings!I116</f>
        <v>LL Platz 10 Rang 4</v>
      </c>
      <c r="F244" s="39" t="str">
        <f>Rankings!N116</f>
        <v>SG Schorndorf 1846</v>
      </c>
      <c r="G244" s="40"/>
      <c r="H244" s="24"/>
      <c r="I244" s="24"/>
      <c r="J244" s="24"/>
      <c r="K244" s="24"/>
      <c r="L244" s="24"/>
      <c r="M244" s="39"/>
      <c r="N244" s="39"/>
      <c r="O244" s="40" t="str">
        <f>Rankings!I411</f>
        <v>LL Platz 10 Rang 4</v>
      </c>
      <c r="P244" s="39" t="str">
        <f>Rankings!N411</f>
        <v>TV Weingarten Handball</v>
      </c>
      <c r="Q244" s="40"/>
      <c r="R244" s="24"/>
      <c r="S244" s="24"/>
    </row>
    <row r="245" spans="2:19" ht="12" customHeight="1" x14ac:dyDescent="0.35">
      <c r="B245" s="24"/>
      <c r="C245" s="42" t="s">
        <v>56</v>
      </c>
      <c r="D245" s="52"/>
      <c r="E245" s="43" t="str">
        <f>Rankings!B210&amp;" "&amp;Rankings!D210</f>
        <v>43 LL RNT Platz 8</v>
      </c>
      <c r="F245" s="42" t="str">
        <f>Rankings!E210</f>
        <v>TG Laudenbach</v>
      </c>
      <c r="G245" s="43"/>
      <c r="H245" s="24"/>
      <c r="I245" s="24"/>
      <c r="J245" s="24"/>
      <c r="K245" s="24"/>
      <c r="L245" s="24"/>
      <c r="M245" s="42" t="s">
        <v>56</v>
      </c>
      <c r="N245" s="52"/>
      <c r="O245" s="43" t="str">
        <f>Rankings!D507</f>
        <v>LL RNT Platz 7</v>
      </c>
      <c r="P245" s="42" t="str">
        <f>Rankings!E507</f>
        <v>TSV Rot-Malsch 2</v>
      </c>
      <c r="Q245" s="43"/>
      <c r="R245" s="24"/>
      <c r="S245" s="24"/>
    </row>
    <row r="246" spans="2:19" ht="12" customHeight="1" x14ac:dyDescent="0.35">
      <c r="B246" s="24"/>
      <c r="C246" s="53"/>
      <c r="D246" s="52"/>
      <c r="E246" s="43" t="str">
        <f>Rankings!B211&amp;" "&amp;Rankings!D211</f>
        <v>44 LL AES Platz 8</v>
      </c>
      <c r="F246" s="42" t="str">
        <f>Rankings!E211</f>
        <v>Post Südstadt Karlsruhe</v>
      </c>
      <c r="G246" s="43"/>
      <c r="H246" s="24"/>
      <c r="I246" s="24"/>
      <c r="J246" s="24"/>
      <c r="K246" s="24"/>
      <c r="L246" s="24"/>
      <c r="M246" s="42"/>
      <c r="N246" s="52"/>
      <c r="O246" s="43" t="str">
        <f>Rankings!D508</f>
        <v>LL RNT Platz 8</v>
      </c>
      <c r="P246" s="42" t="str">
        <f>Rankings!E508</f>
        <v>TV Bammental</v>
      </c>
      <c r="Q246" s="43"/>
      <c r="R246" s="24"/>
      <c r="S246" s="24"/>
    </row>
    <row r="247" spans="2:19" ht="12" customHeight="1" x14ac:dyDescent="0.35">
      <c r="B247" s="24"/>
      <c r="C247" s="43"/>
      <c r="D247" s="52"/>
      <c r="E247" s="43" t="str">
        <f>Rankings!B212&amp;" "&amp;Rankings!D212</f>
        <v>45 LL RNT Platz 9</v>
      </c>
      <c r="F247" s="42" t="str">
        <f>Rankings!E212</f>
        <v>TSV Rot-Malsch 2</v>
      </c>
      <c r="G247" s="43"/>
      <c r="H247" s="24"/>
      <c r="I247" s="24"/>
      <c r="J247" s="24"/>
      <c r="K247" s="24"/>
      <c r="L247" s="24"/>
      <c r="M247" s="42"/>
      <c r="N247" s="52"/>
      <c r="O247" s="43" t="str">
        <f>Rankings!D509</f>
        <v>LL RNT Platz 9</v>
      </c>
      <c r="P247" s="42" t="str">
        <f>Rankings!E509</f>
        <v>TSV HD-Wieblingen</v>
      </c>
      <c r="Q247" s="43"/>
      <c r="R247" s="24"/>
      <c r="S247" s="24"/>
    </row>
    <row r="248" spans="2:19" ht="12" customHeight="1" x14ac:dyDescent="0.35">
      <c r="B248" s="24"/>
      <c r="C248" s="43"/>
      <c r="D248" s="52"/>
      <c r="E248" s="43" t="str">
        <f>Rankings!B213&amp;" "&amp;Rankings!D213</f>
        <v>46 LL AES Platz 10</v>
      </c>
      <c r="F248" s="42" t="str">
        <f>Rankings!E213</f>
        <v>SG Sulzfeld/Bretten</v>
      </c>
      <c r="G248" s="43"/>
      <c r="H248" s="24"/>
      <c r="I248" s="24"/>
      <c r="J248" s="24"/>
      <c r="K248" s="24"/>
      <c r="L248" s="24"/>
      <c r="M248" s="42"/>
      <c r="N248" s="52"/>
      <c r="O248" s="43" t="str">
        <f>Rankings!D510</f>
        <v>LL AES Platz 8</v>
      </c>
      <c r="P248" s="42" t="str">
        <f>Rankings!E510</f>
        <v>HC Neuenbürg 2000</v>
      </c>
      <c r="Q248" s="43"/>
      <c r="R248" s="24"/>
      <c r="S248" s="24"/>
    </row>
    <row r="249" spans="2:19" ht="12" customHeight="1" x14ac:dyDescent="0.35">
      <c r="B249" s="24"/>
      <c r="C249" s="43"/>
      <c r="D249" s="52"/>
      <c r="E249" s="43" t="str">
        <f>Rankings!B214&amp;" "&amp;Rankings!D214</f>
        <v>47 LL AES Platz 9</v>
      </c>
      <c r="F249" s="42" t="str">
        <f>Rankings!E214</f>
        <v>SG Stutensee-Weingarten</v>
      </c>
      <c r="G249" s="43"/>
      <c r="H249" s="24"/>
      <c r="I249" s="24"/>
      <c r="J249" s="24"/>
      <c r="K249" s="24"/>
      <c r="L249" s="24"/>
      <c r="M249" s="42"/>
      <c r="N249" s="52"/>
      <c r="O249" s="43" t="str">
        <f>Rankings!D511</f>
        <v>LL RNT Platz 10</v>
      </c>
      <c r="P249" s="42" t="str">
        <f>Rankings!E511</f>
        <v>SG Walldorf Astoria 1902 Frauen</v>
      </c>
      <c r="Q249" s="43"/>
      <c r="R249" s="24"/>
      <c r="S249" s="24"/>
    </row>
    <row r="250" spans="2:19" ht="12" customHeight="1" x14ac:dyDescent="0.35">
      <c r="B250" s="24"/>
      <c r="C250" s="43"/>
      <c r="D250" s="52"/>
      <c r="E250" s="43" t="str">
        <f>Rankings!B215&amp;" "&amp;Rankings!D215</f>
        <v>48 LL RNT Platz 10</v>
      </c>
      <c r="F250" s="42" t="str">
        <f>Rankings!E215</f>
        <v>HSG Dittigheim/Tauberbischofsheim</v>
      </c>
      <c r="G250" s="43"/>
      <c r="H250" s="24"/>
      <c r="I250" s="24"/>
      <c r="J250" s="24"/>
      <c r="K250" s="24"/>
      <c r="L250" s="24"/>
      <c r="M250" s="42"/>
      <c r="N250" s="52"/>
      <c r="O250" s="43" t="str">
        <f>Rankings!D512</f>
        <v>LL AES Platz 9</v>
      </c>
      <c r="P250" s="42" t="str">
        <f>Rankings!E512</f>
        <v>SV Langensteinbach</v>
      </c>
      <c r="Q250" s="43"/>
      <c r="R250" s="24"/>
      <c r="S250" s="24"/>
    </row>
    <row r="251" spans="2:19" ht="12" customHeight="1" x14ac:dyDescent="0.35">
      <c r="B251" s="24"/>
      <c r="C251" s="43"/>
      <c r="D251" s="52"/>
      <c r="E251" s="43" t="str">
        <f>Rankings!B216&amp;" "&amp;Rankings!D216</f>
        <v>49 LL RNT Platz 11</v>
      </c>
      <c r="F251" s="42" t="str">
        <f>Rankings!E216</f>
        <v>HG Königshofen/Sachsenflur</v>
      </c>
      <c r="G251" s="43"/>
      <c r="H251" s="24"/>
      <c r="I251" s="24"/>
      <c r="J251" s="24"/>
      <c r="K251" s="24"/>
      <c r="L251" s="24"/>
      <c r="M251" s="42"/>
      <c r="N251" s="52"/>
      <c r="O251" s="43" t="str">
        <f>Rankings!D513</f>
        <v>LL AES Platz 10</v>
      </c>
      <c r="P251" s="42" t="str">
        <f>Rankings!E513</f>
        <v>SG Niefern/Mühlacker</v>
      </c>
      <c r="Q251" s="43"/>
      <c r="R251" s="24"/>
      <c r="S251" s="24"/>
    </row>
    <row r="252" spans="2:19" ht="12" customHeight="1" x14ac:dyDescent="0.35">
      <c r="B252" s="24"/>
      <c r="C252" s="43"/>
      <c r="D252" s="52"/>
      <c r="E252" s="43" t="str">
        <f>Rankings!B217&amp;" "&amp;Rankings!D217</f>
        <v>50 LL AES Platz 11</v>
      </c>
      <c r="F252" s="42" t="str">
        <f>Rankings!E217</f>
        <v>HSG Walzbachtal 2</v>
      </c>
      <c r="G252" s="43"/>
      <c r="H252" s="24"/>
      <c r="I252" s="24"/>
      <c r="J252" s="24"/>
      <c r="K252" s="24"/>
      <c r="L252" s="24"/>
      <c r="M252" s="42"/>
      <c r="N252" s="52"/>
      <c r="O252" s="43" t="str">
        <f>Rankings!D514</f>
        <v>VL Platz 12</v>
      </c>
      <c r="P252" s="42" t="str">
        <f>Rankings!E514</f>
        <v>Turnerschaft Mühlburg</v>
      </c>
      <c r="Q252" s="43"/>
      <c r="R252" s="24"/>
      <c r="S252" s="24"/>
    </row>
    <row r="253" spans="2:19" ht="12" customHeight="1" x14ac:dyDescent="0.35">
      <c r="B253" s="24"/>
      <c r="C253" s="43"/>
      <c r="D253" s="52"/>
      <c r="E253" s="43" t="str">
        <f>Rankings!B218&amp;" "&amp;Rankings!D218</f>
        <v>51 LL RNT Platz 12</v>
      </c>
      <c r="F253" s="42" t="str">
        <f>Rankings!E218</f>
        <v>TV Mosbach</v>
      </c>
      <c r="G253" s="43"/>
      <c r="H253" s="24"/>
      <c r="I253" s="24"/>
      <c r="J253" s="24"/>
      <c r="K253" s="24"/>
      <c r="L253" s="24"/>
      <c r="M253" s="42"/>
      <c r="N253" s="52"/>
      <c r="O253" s="43"/>
      <c r="P253" s="43"/>
      <c r="Q253" s="43"/>
      <c r="R253" s="24"/>
      <c r="S253" s="24"/>
    </row>
    <row r="254" spans="2:19" ht="12" customHeight="1" x14ac:dyDescent="0.35">
      <c r="B254" s="24"/>
      <c r="C254" s="43"/>
      <c r="D254" s="52"/>
      <c r="E254" s="43" t="str">
        <f>Rankings!B219&amp;" "&amp;Rankings!D219</f>
        <v>52 LL AES Platz 12</v>
      </c>
      <c r="F254" s="42" t="str">
        <f>Rankings!E219</f>
        <v>SG Hambrücken/Weiher</v>
      </c>
      <c r="G254" s="43"/>
      <c r="H254" s="24"/>
      <c r="I254" s="24"/>
      <c r="J254" s="24"/>
      <c r="K254" s="24"/>
      <c r="L254" s="24"/>
      <c r="M254" s="42"/>
      <c r="N254" s="52"/>
      <c r="O254" s="43"/>
      <c r="P254" s="43"/>
      <c r="Q254" s="43"/>
      <c r="R254" s="24"/>
      <c r="S254" s="24"/>
    </row>
    <row r="255" spans="2:19" ht="12" customHeight="1" x14ac:dyDescent="0.35">
      <c r="B255" s="24"/>
      <c r="C255" s="43"/>
      <c r="D255" s="52"/>
      <c r="E255" s="43" t="str">
        <f>Rankings!B220&amp;" "&amp;Rankings!D220</f>
        <v>53 LL RNT Platz 13</v>
      </c>
      <c r="F255" s="42" t="str">
        <f>Rankings!E220</f>
        <v>HSG TSG Weinheim-TV Oberflockenbach</v>
      </c>
      <c r="G255" s="43"/>
      <c r="H255" s="24"/>
      <c r="I255" s="24"/>
      <c r="J255" s="24"/>
      <c r="K255" s="24"/>
      <c r="L255" s="24"/>
      <c r="M255" s="27" t="s">
        <v>55</v>
      </c>
      <c r="N255" s="54"/>
      <c r="O255" s="28" t="str">
        <f>Rankings!D562</f>
        <v>LL Platz 11 Rang 2</v>
      </c>
      <c r="P255" s="27" t="str">
        <f>Rankings!E562</f>
        <v>HSC Radolfzell</v>
      </c>
      <c r="Q255" s="28"/>
      <c r="R255" s="24"/>
      <c r="S255" s="24"/>
    </row>
    <row r="256" spans="2:19" ht="12" customHeight="1" x14ac:dyDescent="0.35">
      <c r="B256" s="24"/>
      <c r="C256" s="43"/>
      <c r="D256" s="52"/>
      <c r="E256" s="43"/>
      <c r="F256" s="43"/>
      <c r="G256" s="43"/>
      <c r="H256" s="24"/>
      <c r="I256" s="24"/>
      <c r="J256" s="24"/>
      <c r="K256" s="24"/>
      <c r="L256" s="24"/>
      <c r="M256" s="27"/>
      <c r="N256" s="54"/>
      <c r="O256" s="28" t="str">
        <f>Rankings!D563</f>
        <v>LL Platz 12 Rang 1</v>
      </c>
      <c r="P256" s="27" t="str">
        <f>Rankings!E563</f>
        <v>TuS Ottenheim 2</v>
      </c>
      <c r="Q256" s="28"/>
      <c r="R256" s="24"/>
      <c r="S256" s="24"/>
    </row>
    <row r="257" spans="2:19" ht="12" customHeight="1" x14ac:dyDescent="0.35">
      <c r="B257" s="24"/>
      <c r="C257" s="43"/>
      <c r="D257" s="52"/>
      <c r="E257" s="43"/>
      <c r="F257" s="43"/>
      <c r="G257" s="43"/>
      <c r="H257" s="24"/>
      <c r="I257" s="24"/>
      <c r="J257" s="24"/>
      <c r="K257" s="24"/>
      <c r="L257" s="24"/>
      <c r="M257" s="27"/>
      <c r="N257" s="54"/>
      <c r="O257" s="28" t="str">
        <f>Rankings!D564</f>
        <v>LL Platz 12 Rang 2</v>
      </c>
      <c r="P257" s="27" t="str">
        <f>Rankings!E564</f>
        <v>HG Müllheim/Neuenburg</v>
      </c>
      <c r="Q257" s="28"/>
      <c r="R257" s="24"/>
      <c r="S257" s="24"/>
    </row>
    <row r="258" spans="2:19" ht="12" customHeight="1" x14ac:dyDescent="0.35">
      <c r="B258" s="24"/>
      <c r="C258" s="27" t="s">
        <v>55</v>
      </c>
      <c r="D258" s="54"/>
      <c r="E258" s="28" t="str">
        <f>Rankings!B267&amp;" "&amp;Rankings!D267</f>
        <v>43 LL Platz 13 Rang 1</v>
      </c>
      <c r="F258" s="27" t="str">
        <f>Rankings!E267</f>
        <v>TuS Oberhausen</v>
      </c>
      <c r="G258" s="28"/>
      <c r="H258" s="24"/>
      <c r="I258" s="24"/>
      <c r="J258" s="24"/>
      <c r="K258" s="24"/>
      <c r="L258" s="24"/>
      <c r="M258" s="27"/>
      <c r="N258" s="54"/>
      <c r="O258" s="28"/>
      <c r="P258" s="28"/>
      <c r="Q258" s="28"/>
      <c r="R258" s="24"/>
      <c r="S258" s="24"/>
    </row>
    <row r="259" spans="2:19" ht="12" customHeight="1" x14ac:dyDescent="0.35">
      <c r="B259" s="24"/>
      <c r="C259" s="55"/>
      <c r="D259" s="54"/>
      <c r="E259" s="28" t="str">
        <f>Rankings!B268&amp;" "&amp;Rankings!D268</f>
        <v>44 LL Platz 13 Rang 2</v>
      </c>
      <c r="F259" s="27" t="str">
        <f>Rankings!E268</f>
        <v>Murgtal Panthers</v>
      </c>
      <c r="G259" s="28"/>
      <c r="H259" s="24"/>
      <c r="I259" s="24"/>
      <c r="J259" s="24"/>
      <c r="K259" s="24"/>
      <c r="L259" s="24"/>
      <c r="M259" s="77"/>
      <c r="N259" s="57"/>
      <c r="O259" s="56"/>
      <c r="P259" s="56"/>
      <c r="Q259" s="56"/>
      <c r="R259" s="24"/>
      <c r="S259" s="24"/>
    </row>
    <row r="260" spans="2:19" ht="12" customHeight="1" x14ac:dyDescent="0.35">
      <c r="B260" s="24"/>
      <c r="C260" s="28"/>
      <c r="D260" s="54"/>
      <c r="E260" s="28" t="str">
        <f>Rankings!B269&amp;" "&amp;Rankings!D269</f>
        <v>45 LL Platz 14 Rang 1</v>
      </c>
      <c r="F260" s="27" t="str">
        <f>Rankings!E269</f>
        <v>SG Hornberg/Lauterbach/Triberg</v>
      </c>
      <c r="G260" s="28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</row>
    <row r="261" spans="2:19" ht="12" customHeight="1" x14ac:dyDescent="0.35">
      <c r="B261" s="24"/>
      <c r="C261" s="28"/>
      <c r="D261" s="54"/>
      <c r="E261" s="28" t="str">
        <f>Rankings!B270&amp;" "&amp;Rankings!D270</f>
        <v>46 LL Platz 14 Rang 2</v>
      </c>
      <c r="F261" s="27" t="str">
        <f>Rankings!E270</f>
        <v>DJK Singen</v>
      </c>
      <c r="G261" s="28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</row>
    <row r="262" spans="2:19" ht="12" customHeight="1" x14ac:dyDescent="0.35">
      <c r="B262" s="24"/>
      <c r="C262" s="28"/>
      <c r="D262" s="54"/>
      <c r="E262" s="28"/>
      <c r="F262" s="28"/>
      <c r="G262" s="28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</row>
    <row r="263" spans="2:19" ht="12" customHeight="1" x14ac:dyDescent="0.35">
      <c r="B263" s="24"/>
      <c r="C263" s="56"/>
      <c r="D263" s="57"/>
      <c r="E263" s="56"/>
      <c r="F263" s="56"/>
      <c r="G263" s="56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</row>
    <row r="264" spans="2:19" ht="12" customHeight="1" x14ac:dyDescent="0.35"/>
    <row r="265" spans="2:19" ht="12" customHeight="1" x14ac:dyDescent="0.35"/>
    <row r="266" spans="2:19" ht="12" customHeight="1" x14ac:dyDescent="0.35"/>
    <row r="267" spans="2:19" ht="12" customHeight="1" x14ac:dyDescent="0.35"/>
    <row r="268" spans="2:19" ht="12" customHeight="1" x14ac:dyDescent="0.35"/>
    <row r="269" spans="2:19" ht="12" customHeight="1" x14ac:dyDescent="0.35"/>
  </sheetData>
  <mergeCells count="1">
    <mergeCell ref="B6:P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23CC-01AD-4F1C-AED6-5A5F5E2EC91C}">
  <dimension ref="A2:N564"/>
  <sheetViews>
    <sheetView topLeftCell="A419" workbookViewId="0">
      <selection activeCell="N434" sqref="N434"/>
    </sheetView>
  </sheetViews>
  <sheetFormatPr baseColWidth="10" defaultRowHeight="14.5" x14ac:dyDescent="0.35"/>
  <cols>
    <col min="1" max="1" width="4.1796875" bestFit="1" customWidth="1"/>
    <col min="2" max="3" width="4.6328125" customWidth="1"/>
    <col min="4" max="4" width="15.6328125" bestFit="1" customWidth="1"/>
    <col min="5" max="5" width="32.7265625" bestFit="1" customWidth="1"/>
    <col min="6" max="8" width="4.6328125" customWidth="1"/>
    <col min="9" max="9" width="24.08984375" bestFit="1" customWidth="1"/>
    <col min="10" max="10" width="4.6328125" customWidth="1"/>
    <col min="11" max="12" width="2.6328125" customWidth="1"/>
    <col min="13" max="13" width="7.08984375" bestFit="1" customWidth="1"/>
    <col min="14" max="14" width="32.7265625" bestFit="1" customWidth="1"/>
  </cols>
  <sheetData>
    <row r="2" spans="2:5" x14ac:dyDescent="0.35">
      <c r="B2" s="1" t="s">
        <v>273</v>
      </c>
    </row>
    <row r="4" spans="2:5" x14ac:dyDescent="0.35">
      <c r="B4" t="s">
        <v>73</v>
      </c>
    </row>
    <row r="5" spans="2:5" x14ac:dyDescent="0.35">
      <c r="B5" s="7" t="s">
        <v>74</v>
      </c>
      <c r="C5">
        <f>IFERROR(VLOOKUP(B5,L3_RL!S$23:U$25,2,FALSE),0)</f>
        <v>15</v>
      </c>
      <c r="D5" t="s">
        <v>57</v>
      </c>
      <c r="E5" t="str" cm="1">
        <f t="array" ref="E5">IF(0&lt;C5,INDEX(L3_RL!E$10:E$30,C5),"")</f>
        <v>TVS 1907 Baden-Baden</v>
      </c>
    </row>
    <row r="6" spans="2:5" x14ac:dyDescent="0.35">
      <c r="B6" s="7" t="s">
        <v>75</v>
      </c>
      <c r="C6">
        <f>IFERROR(VLOOKUP(B6,L3_RL!S$23:U$25,2,FALSE),0)</f>
        <v>0</v>
      </c>
      <c r="D6" t="s">
        <v>57</v>
      </c>
      <c r="E6" t="str" cm="1">
        <f t="array" ref="E6">IF(0&lt;C6,INDEX(L3_RL!E$10:E$30,C6),"")</f>
        <v/>
      </c>
    </row>
    <row r="7" spans="2:5" x14ac:dyDescent="0.35">
      <c r="B7" s="7" t="s">
        <v>76</v>
      </c>
      <c r="C7">
        <f>IFERROR(VLOOKUP(B7,L3_RL!S$23:U$25,2,FALSE),0)</f>
        <v>0</v>
      </c>
      <c r="D7" t="s">
        <v>57</v>
      </c>
      <c r="E7" t="str" cm="1">
        <f t="array" ref="E7">IF(0&lt;C7,INDEX(L3_RL!E$10:E$30,C7),"")</f>
        <v/>
      </c>
    </row>
    <row r="9" spans="2:5" x14ac:dyDescent="0.35">
      <c r="B9" t="s">
        <v>61</v>
      </c>
    </row>
    <row r="10" spans="2:5" x14ac:dyDescent="0.35">
      <c r="B10" s="7" t="s">
        <v>62</v>
      </c>
      <c r="C10">
        <f>IFERROR(VLOOKUP(B10,L3_RL!S$29:U$42,2,FALSE),0)</f>
        <v>15</v>
      </c>
      <c r="D10" t="s">
        <v>13</v>
      </c>
      <c r="E10" t="str" cm="1">
        <f t="array" ref="E10">IF(0&lt;C10,INDEX(L3_RL!E$27:E$42,C10),"")</f>
        <v>TSG Söflingen</v>
      </c>
    </row>
    <row r="11" spans="2:5" x14ac:dyDescent="0.35">
      <c r="B11" s="7" t="s">
        <v>63</v>
      </c>
      <c r="C11">
        <f>IFERROR(VLOOKUP(B11,L3_RL!S$29:U$42,2,FALSE),0)</f>
        <v>0</v>
      </c>
      <c r="D11" t="s">
        <v>14</v>
      </c>
      <c r="E11" t="str" cm="1">
        <f t="array" ref="E11">IF(0&lt;C11,INDEX(L3_RL!E$27:E$42,C11),"")</f>
        <v/>
      </c>
    </row>
    <row r="12" spans="2:5" x14ac:dyDescent="0.35">
      <c r="B12" s="7" t="s">
        <v>64</v>
      </c>
      <c r="C12">
        <f>IFERROR(VLOOKUP(B12,L3_RL!S$29:U$42,2,FALSE),0)</f>
        <v>0</v>
      </c>
      <c r="D12" t="s">
        <v>15</v>
      </c>
      <c r="E12" t="str" cm="1">
        <f t="array" ref="E12">IF(0&lt;C12,INDEX(L3_RL!E$27:E$42,C12),"")</f>
        <v/>
      </c>
    </row>
    <row r="13" spans="2:5" x14ac:dyDescent="0.35">
      <c r="B13" s="7" t="s">
        <v>65</v>
      </c>
      <c r="C13">
        <f>IFERROR(VLOOKUP(B13,L3_RL!S$29:U$42,2,FALSE),0)</f>
        <v>0</v>
      </c>
      <c r="D13" t="s">
        <v>16</v>
      </c>
      <c r="E13" t="str" cm="1">
        <f t="array" ref="E13">IF(0&lt;C13,INDEX(L3_RL!E$27:E$42,C13),"")</f>
        <v/>
      </c>
    </row>
    <row r="14" spans="2:5" x14ac:dyDescent="0.35">
      <c r="B14" s="7" t="s">
        <v>66</v>
      </c>
      <c r="C14">
        <f>IFERROR(VLOOKUP(B14,L3_RL!S$29:U$42,2,FALSE),0)</f>
        <v>0</v>
      </c>
      <c r="D14" t="s">
        <v>17</v>
      </c>
      <c r="E14" t="str" cm="1">
        <f t="array" ref="E14">IF(0&lt;C14,INDEX(L3_RL!E$27:E$42,C14),"")</f>
        <v/>
      </c>
    </row>
    <row r="15" spans="2:5" x14ac:dyDescent="0.35">
      <c r="B15" s="7" t="s">
        <v>67</v>
      </c>
      <c r="C15">
        <f>IFERROR(VLOOKUP(B15,L3_RL!S$29:U$42,2,FALSE),0)</f>
        <v>0</v>
      </c>
      <c r="D15" t="s">
        <v>18</v>
      </c>
      <c r="E15" t="str" cm="1">
        <f t="array" ref="E15">IF(0&lt;C15,INDEX(L3_RL!E$27:E$42,C15),"")</f>
        <v/>
      </c>
    </row>
    <row r="16" spans="2:5" x14ac:dyDescent="0.35">
      <c r="B16" s="7" t="s">
        <v>68</v>
      </c>
      <c r="C16">
        <f>IFERROR(VLOOKUP(B16,L3_RL!S$29:U$42,2,FALSE),0)</f>
        <v>0</v>
      </c>
      <c r="D16" t="s">
        <v>69</v>
      </c>
      <c r="E16" t="str" cm="1">
        <f t="array" ref="E16">IF(0&lt;C16,INDEX(L3_RL!E$27:E$42,C16),"")</f>
        <v/>
      </c>
    </row>
    <row r="17" spans="2:11" x14ac:dyDescent="0.35">
      <c r="B17" s="7"/>
    </row>
    <row r="18" spans="2:11" x14ac:dyDescent="0.35">
      <c r="B18" s="7" t="s">
        <v>79</v>
      </c>
      <c r="C18">
        <f>IFERROR(VLOOKUP(B18,L3_RL!S$29:U$42,2,FALSE),0)</f>
        <v>14</v>
      </c>
      <c r="D18" t="s">
        <v>13</v>
      </c>
      <c r="E18" t="str" cm="1">
        <f t="array" ref="E18">IF(0&lt;C18,INDEX(L3_RL!E$27:E$42,C18),"")</f>
        <v>Saase3 Leutershausen Handball 2</v>
      </c>
    </row>
    <row r="19" spans="2:11" x14ac:dyDescent="0.35">
      <c r="B19" s="7" t="s">
        <v>80</v>
      </c>
      <c r="C19">
        <f>IFERROR(VLOOKUP(B19,L3_RL!S$29:U$42,2,FALSE),0)</f>
        <v>0</v>
      </c>
      <c r="D19" t="s">
        <v>14</v>
      </c>
      <c r="E19" t="str" cm="1">
        <f t="array" ref="E19">IF(0&lt;C19,INDEX(L3_RL!E$27:E$42,C19),"")</f>
        <v/>
      </c>
    </row>
    <row r="20" spans="2:11" x14ac:dyDescent="0.35">
      <c r="B20" s="7"/>
    </row>
    <row r="21" spans="2:11" x14ac:dyDescent="0.35">
      <c r="B21" s="7" t="s">
        <v>81</v>
      </c>
      <c r="C21">
        <f>IFERROR(VLOOKUP(B21,L3_RL!S$29:U$42,2,FALSE),0)</f>
        <v>16</v>
      </c>
      <c r="D21" t="s">
        <v>13</v>
      </c>
      <c r="E21" t="str" cm="1">
        <f t="array" ref="E21">IF(0&lt;C21,INDEX(L3_RL!E$27:E$42,C21),"")</f>
        <v>TuS Schutterwald</v>
      </c>
    </row>
    <row r="22" spans="2:11" x14ac:dyDescent="0.35">
      <c r="B22" s="7" t="s">
        <v>82</v>
      </c>
      <c r="C22">
        <f>IFERROR(VLOOKUP(B22,L3_RL!S$29:U$42,2,FALSE),0)</f>
        <v>0</v>
      </c>
      <c r="D22" t="s">
        <v>14</v>
      </c>
      <c r="E22" t="str" cm="1">
        <f t="array" ref="E22">IF(0&lt;C22,INDEX(L3_RL!E$27:E$42,C22),"")</f>
        <v/>
      </c>
    </row>
    <row r="23" spans="2:11" x14ac:dyDescent="0.35">
      <c r="B23" s="7"/>
    </row>
    <row r="24" spans="2:11" x14ac:dyDescent="0.35">
      <c r="B24" s="7"/>
    </row>
    <row r="25" spans="2:11" x14ac:dyDescent="0.35">
      <c r="B25" s="7"/>
    </row>
    <row r="26" spans="2:11" x14ac:dyDescent="0.35">
      <c r="B26" t="s">
        <v>400</v>
      </c>
    </row>
    <row r="27" spans="2:11" x14ac:dyDescent="0.35">
      <c r="B27" t="s">
        <v>7</v>
      </c>
      <c r="C27" t="s">
        <v>8</v>
      </c>
      <c r="D27" t="s">
        <v>6</v>
      </c>
      <c r="F27" t="s">
        <v>546</v>
      </c>
      <c r="G27" t="s">
        <v>6</v>
      </c>
      <c r="I27" t="s">
        <v>547</v>
      </c>
      <c r="J27" s="10" t="s">
        <v>413</v>
      </c>
      <c r="K27" t="s">
        <v>10</v>
      </c>
    </row>
    <row r="28" spans="2:11" x14ac:dyDescent="0.35">
      <c r="B28">
        <v>0</v>
      </c>
      <c r="C28">
        <v>2</v>
      </c>
      <c r="D28" s="4">
        <f>13-C28</f>
        <v>11</v>
      </c>
      <c r="E28" s="4"/>
      <c r="F28">
        <v>2</v>
      </c>
      <c r="G28">
        <f>37-F28</f>
        <v>35</v>
      </c>
      <c r="I28">
        <v>0</v>
      </c>
      <c r="J28">
        <v>0</v>
      </c>
    </row>
    <row r="29" spans="2:11" x14ac:dyDescent="0.35">
      <c r="B29">
        <v>1</v>
      </c>
      <c r="C29">
        <v>2</v>
      </c>
      <c r="D29" s="4">
        <f t="shared" ref="D29:D34" si="0">13-C29</f>
        <v>11</v>
      </c>
      <c r="E29" s="4"/>
      <c r="F29">
        <v>2</v>
      </c>
      <c r="G29">
        <f t="shared" ref="G29:G34" si="1">37-F29</f>
        <v>35</v>
      </c>
      <c r="I29">
        <f>D36</f>
        <v>11</v>
      </c>
      <c r="J29">
        <f>K29-I29</f>
        <v>7</v>
      </c>
      <c r="K29" s="5">
        <f>19-B36</f>
        <v>18</v>
      </c>
    </row>
    <row r="30" spans="2:11" x14ac:dyDescent="0.35">
      <c r="B30">
        <v>2</v>
      </c>
      <c r="C30">
        <v>2</v>
      </c>
      <c r="D30" s="4">
        <f t="shared" si="0"/>
        <v>11</v>
      </c>
      <c r="E30" s="4"/>
      <c r="F30">
        <v>2</v>
      </c>
      <c r="G30">
        <f t="shared" si="1"/>
        <v>35</v>
      </c>
      <c r="I30">
        <f>I29+C36</f>
        <v>13</v>
      </c>
      <c r="J30">
        <f>I29-I30</f>
        <v>-2</v>
      </c>
    </row>
    <row r="31" spans="2:11" x14ac:dyDescent="0.35">
      <c r="B31">
        <v>3</v>
      </c>
      <c r="C31">
        <v>3</v>
      </c>
      <c r="D31" s="4">
        <f t="shared" si="0"/>
        <v>10</v>
      </c>
      <c r="E31" s="4"/>
      <c r="F31">
        <v>2</v>
      </c>
      <c r="G31">
        <f t="shared" si="1"/>
        <v>35</v>
      </c>
      <c r="I31">
        <f>I30+J29</f>
        <v>20</v>
      </c>
      <c r="J31">
        <v>0</v>
      </c>
    </row>
    <row r="32" spans="2:11" x14ac:dyDescent="0.35">
      <c r="B32">
        <v>4</v>
      </c>
      <c r="C32">
        <v>4</v>
      </c>
      <c r="D32" s="4">
        <f t="shared" si="0"/>
        <v>9</v>
      </c>
      <c r="E32" s="4"/>
      <c r="F32">
        <v>4</v>
      </c>
      <c r="G32">
        <f t="shared" si="1"/>
        <v>33</v>
      </c>
      <c r="I32">
        <f>G36</f>
        <v>35</v>
      </c>
      <c r="J32">
        <f>K32-I32</f>
        <v>17</v>
      </c>
      <c r="K32" s="5">
        <f>53-B36</f>
        <v>52</v>
      </c>
    </row>
    <row r="33" spans="1:14" x14ac:dyDescent="0.35">
      <c r="B33">
        <v>5</v>
      </c>
      <c r="C33">
        <v>5</v>
      </c>
      <c r="D33" s="4">
        <f t="shared" si="0"/>
        <v>8</v>
      </c>
      <c r="E33" s="4"/>
      <c r="F33">
        <v>4</v>
      </c>
      <c r="G33">
        <f t="shared" si="1"/>
        <v>33</v>
      </c>
      <c r="I33">
        <f>I32+F36</f>
        <v>37</v>
      </c>
      <c r="J33">
        <f>I32-I33</f>
        <v>-2</v>
      </c>
    </row>
    <row r="34" spans="1:14" x14ac:dyDescent="0.35">
      <c r="B34">
        <v>6</v>
      </c>
      <c r="C34">
        <v>6</v>
      </c>
      <c r="D34" s="4">
        <f t="shared" si="0"/>
        <v>7</v>
      </c>
      <c r="E34" s="4"/>
      <c r="F34">
        <v>4</v>
      </c>
      <c r="G34">
        <f t="shared" si="1"/>
        <v>33</v>
      </c>
      <c r="I34">
        <f>I33+J32</f>
        <v>54</v>
      </c>
      <c r="J34">
        <v>0</v>
      </c>
    </row>
    <row r="35" spans="1:14" x14ac:dyDescent="0.35">
      <c r="A35" t="s">
        <v>561</v>
      </c>
      <c r="D35" s="4"/>
      <c r="E35" s="4"/>
      <c r="I35" s="1">
        <v>69</v>
      </c>
      <c r="J35">
        <v>99</v>
      </c>
    </row>
    <row r="36" spans="1:14" x14ac:dyDescent="0.35">
      <c r="A36" s="6" t="s">
        <v>0</v>
      </c>
      <c r="B36" s="8">
        <f>COUNTIF(C10:C16,"&gt;0")</f>
        <v>1</v>
      </c>
      <c r="C36" cm="1">
        <f t="array" ref="C36">INDEX(C28:C34,$B36+1)</f>
        <v>2</v>
      </c>
      <c r="D36" s="4" cm="1">
        <f t="array" ref="D36">INDEX(D28:D34,$B36+1)</f>
        <v>11</v>
      </c>
      <c r="E36" s="4">
        <f>D36+C36-1</f>
        <v>12</v>
      </c>
      <c r="F36" cm="1">
        <f t="array" ref="F36">INDEX(F28:F34,$B36+1)</f>
        <v>2</v>
      </c>
      <c r="G36" cm="1">
        <f t="array" ref="G36">INDEX(G28:G34,$B36+1)</f>
        <v>35</v>
      </c>
      <c r="H36" s="4">
        <f>G36+F36-1</f>
        <v>36</v>
      </c>
      <c r="I36">
        <f>I35+8</f>
        <v>77</v>
      </c>
      <c r="J36">
        <f>I35-I36</f>
        <v>-8</v>
      </c>
    </row>
    <row r="37" spans="1:14" x14ac:dyDescent="0.35">
      <c r="A37" s="6" t="s">
        <v>56</v>
      </c>
      <c r="B37" s="8">
        <f>COUNTIF(C18:C19,"&gt;0")</f>
        <v>1</v>
      </c>
      <c r="D37" s="4"/>
      <c r="E37" s="4"/>
      <c r="H37" s="4"/>
    </row>
    <row r="38" spans="1:14" x14ac:dyDescent="0.35">
      <c r="A38" s="6" t="s">
        <v>55</v>
      </c>
      <c r="B38" s="8">
        <f>COUNTIF(C21:C22,"&gt;0")</f>
        <v>1</v>
      </c>
      <c r="D38" s="4"/>
      <c r="E38" s="4"/>
      <c r="H38" s="4"/>
    </row>
    <row r="39" spans="1:14" x14ac:dyDescent="0.35">
      <c r="G39" s="3"/>
      <c r="I39" s="4"/>
      <c r="J39" s="4"/>
      <c r="M39" s="4"/>
    </row>
    <row r="40" spans="1:14" x14ac:dyDescent="0.35">
      <c r="B40" s="1" t="s">
        <v>0</v>
      </c>
      <c r="C40" s="1" t="s">
        <v>12</v>
      </c>
      <c r="F40" s="1" t="s">
        <v>6</v>
      </c>
      <c r="G40" s="1" t="s">
        <v>11</v>
      </c>
      <c r="H40" s="1" t="s">
        <v>4</v>
      </c>
      <c r="M40" t="s">
        <v>200</v>
      </c>
      <c r="N40" t="s">
        <v>204</v>
      </c>
    </row>
    <row r="41" spans="1:14" x14ac:dyDescent="0.35">
      <c r="B41">
        <v>1</v>
      </c>
      <c r="C41">
        <f t="shared" ref="C41:C72" si="2">IF(B41&lt;=B$36,0,VLOOKUP(B41,$F$41:$H$168,3,FALSE))</f>
        <v>0</v>
      </c>
      <c r="D41" t="str" cm="1">
        <f t="array" ref="D41">IF(C41=0,INDEX(D$10:D$97,B$36+1-B41),INDEX(I$41:I$1016,C41))</f>
        <v>Absteiger RL 1</v>
      </c>
      <c r="E41" t="str" cm="1">
        <f t="array" ref="E41">IF(C41=0,INDEX(E$10:E$113,B$36+1-B41),INDEX(N$41:N$1016,C41))</f>
        <v>TSG Söflingen</v>
      </c>
      <c r="F41">
        <f t="shared" ref="F41:F72" si="3">H41+G41+B$36</f>
        <v>2</v>
      </c>
      <c r="G41">
        <f t="shared" ref="G41:G72" si="4">VLOOKUP(H41,I$28:J$36,2,TRUE)</f>
        <v>0</v>
      </c>
      <c r="H41">
        <v>1</v>
      </c>
      <c r="I41" t="str">
        <f t="shared" ref="I41:I51" si="5">J41&amp;" Platz "&amp;K41</f>
        <v>OLW Platz 3</v>
      </c>
      <c r="J41" t="s">
        <v>1</v>
      </c>
      <c r="K41">
        <v>3</v>
      </c>
      <c r="M41">
        <f>VLOOKUP(H41+2,HVW!U$3:V$171,2,FALSE)</f>
        <v>3</v>
      </c>
      <c r="N41" t="str" cm="1">
        <f t="array" ref="N41">INDEX(HVW!E$3:E$950,M41)</f>
        <v>TSV Schmiden 1902</v>
      </c>
    </row>
    <row r="42" spans="1:14" x14ac:dyDescent="0.35">
      <c r="B42">
        <f t="shared" ref="B42:B73" si="6">1+B41</f>
        <v>2</v>
      </c>
      <c r="C42">
        <f t="shared" si="2"/>
        <v>1</v>
      </c>
      <c r="D42" t="str" cm="1">
        <f t="array" ref="D42">IF(C42=0,INDEX(D$10:D$97,B$36+1-B42),INDEX(I$41:I$1016,C42))</f>
        <v>OLW Platz 3</v>
      </c>
      <c r="E42" t="str" cm="1">
        <f t="array" ref="E42">IF(C42=0,INDEX(E$10:E$113,B$36+1-B42),INDEX(N$41:N$1016,C42))</f>
        <v>TSV Schmiden 1902</v>
      </c>
      <c r="F42">
        <f t="shared" si="3"/>
        <v>3</v>
      </c>
      <c r="G42">
        <f t="shared" si="4"/>
        <v>0</v>
      </c>
      <c r="H42">
        <f t="shared" ref="H42:H73" si="7">1+H41</f>
        <v>2</v>
      </c>
      <c r="I42" t="str">
        <f t="shared" si="5"/>
        <v>OLW Platz 4</v>
      </c>
      <c r="J42" t="s">
        <v>1</v>
      </c>
      <c r="K42">
        <v>4</v>
      </c>
      <c r="M42">
        <f>VLOOKUP(H42+2,HVW!U$3:V$171,2,FALSE)</f>
        <v>4</v>
      </c>
      <c r="N42" t="str" cm="1">
        <f t="array" ref="N42">INDEX(HVW!E$3:E$950,M42)</f>
        <v>SG BBM Bietigheim 2</v>
      </c>
    </row>
    <row r="43" spans="1:14" x14ac:dyDescent="0.35">
      <c r="B43">
        <f t="shared" si="6"/>
        <v>3</v>
      </c>
      <c r="C43">
        <f t="shared" si="2"/>
        <v>2</v>
      </c>
      <c r="D43" t="str" cm="1">
        <f t="array" ref="D43">IF(C43=0,INDEX(D$10:D$97,B$36+1-B43),INDEX(I$41:I$1016,C43))</f>
        <v>OLW Platz 4</v>
      </c>
      <c r="E43" t="str" cm="1">
        <f t="array" ref="E43">IF(C43=0,INDEX(E$10:E$113,B$36+1-B43),INDEX(N$41:N$1016,C43))</f>
        <v>SG BBM Bietigheim 2</v>
      </c>
      <c r="F43">
        <f t="shared" si="3"/>
        <v>4</v>
      </c>
      <c r="G43">
        <f t="shared" si="4"/>
        <v>0</v>
      </c>
      <c r="H43">
        <f t="shared" si="7"/>
        <v>3</v>
      </c>
      <c r="I43" t="str">
        <f t="shared" si="5"/>
        <v>OLW Platz 5</v>
      </c>
      <c r="J43" t="s">
        <v>1</v>
      </c>
      <c r="K43">
        <v>5</v>
      </c>
      <c r="M43">
        <f>VLOOKUP(H43+2,HVW!U$3:V$171,2,FALSE)</f>
        <v>5</v>
      </c>
      <c r="N43" t="str" cm="1">
        <f t="array" ref="N43">INDEX(HVW!E$3:E$950,M43)</f>
        <v>TV 1895 Flein</v>
      </c>
    </row>
    <row r="44" spans="1:14" x14ac:dyDescent="0.35">
      <c r="B44">
        <f t="shared" si="6"/>
        <v>4</v>
      </c>
      <c r="C44">
        <f t="shared" si="2"/>
        <v>3</v>
      </c>
      <c r="D44" t="str" cm="1">
        <f t="array" ref="D44">IF(C44=0,INDEX(D$10:D$97,B$36+1-B44),INDEX(I$41:I$1016,C44))</f>
        <v>OLW Platz 5</v>
      </c>
      <c r="E44" t="str" cm="1">
        <f t="array" ref="E44">IF(C44=0,INDEX(E$10:E$113,B$36+1-B44),INDEX(N$41:N$1016,C44))</f>
        <v>TV 1895 Flein</v>
      </c>
      <c r="F44">
        <f t="shared" si="3"/>
        <v>5</v>
      </c>
      <c r="G44">
        <f t="shared" si="4"/>
        <v>0</v>
      </c>
      <c r="H44">
        <f t="shared" si="7"/>
        <v>4</v>
      </c>
      <c r="I44" t="str">
        <f t="shared" si="5"/>
        <v>OLW Platz 6</v>
      </c>
      <c r="J44" t="s">
        <v>1</v>
      </c>
      <c r="K44">
        <v>6</v>
      </c>
      <c r="M44">
        <f>VLOOKUP(H44+2,HVW!U$3:V$171,2,FALSE)</f>
        <v>6</v>
      </c>
      <c r="N44" t="str" cm="1">
        <f t="array" ref="N44">INDEX(HVW!E$3:E$950,M44)</f>
        <v>SV Leonberg/Eltingen</v>
      </c>
    </row>
    <row r="45" spans="1:14" x14ac:dyDescent="0.35">
      <c r="B45">
        <f t="shared" si="6"/>
        <v>5</v>
      </c>
      <c r="C45">
        <f t="shared" si="2"/>
        <v>4</v>
      </c>
      <c r="D45" t="str" cm="1">
        <f t="array" ref="D45">IF(C45=0,INDEX(D$10:D$97,B$36+1-B45),INDEX(I$41:I$1016,C45))</f>
        <v>OLW Platz 6</v>
      </c>
      <c r="E45" t="str" cm="1">
        <f t="array" ref="E45">IF(C45=0,INDEX(E$10:E$113,B$36+1-B45),INDEX(N$41:N$1016,C45))</f>
        <v>SV Leonberg/Eltingen</v>
      </c>
      <c r="F45">
        <f t="shared" si="3"/>
        <v>6</v>
      </c>
      <c r="G45">
        <f t="shared" si="4"/>
        <v>0</v>
      </c>
      <c r="H45">
        <f t="shared" si="7"/>
        <v>5</v>
      </c>
      <c r="I45" t="str">
        <f t="shared" si="5"/>
        <v>OLW Platz 7</v>
      </c>
      <c r="J45" t="s">
        <v>1</v>
      </c>
      <c r="K45">
        <v>7</v>
      </c>
      <c r="M45">
        <f>VLOOKUP(H45+2,HVW!U$3:V$171,2,FALSE)</f>
        <v>7</v>
      </c>
      <c r="N45" t="str" cm="1">
        <f t="array" ref="N45">INDEX(HVW!E$3:E$950,M45)</f>
        <v>TSV Wolfschlugen</v>
      </c>
    </row>
    <row r="46" spans="1:14" x14ac:dyDescent="0.35">
      <c r="B46">
        <f t="shared" si="6"/>
        <v>6</v>
      </c>
      <c r="C46">
        <f t="shared" si="2"/>
        <v>5</v>
      </c>
      <c r="D46" t="str" cm="1">
        <f t="array" ref="D46">IF(C46=0,INDEX(D$10:D$97,B$36+1-B46),INDEX(I$41:I$1016,C46))</f>
        <v>OLW Platz 7</v>
      </c>
      <c r="E46" t="str" cm="1">
        <f t="array" ref="E46">IF(C46=0,INDEX(E$10:E$113,B$36+1-B46),INDEX(N$41:N$1016,C46))</f>
        <v>TSV Wolfschlugen</v>
      </c>
      <c r="F46">
        <f t="shared" si="3"/>
        <v>7</v>
      </c>
      <c r="G46">
        <f t="shared" si="4"/>
        <v>0</v>
      </c>
      <c r="H46">
        <f t="shared" si="7"/>
        <v>6</v>
      </c>
      <c r="I46" t="str">
        <f t="shared" si="5"/>
        <v>OLW Platz 8</v>
      </c>
      <c r="J46" t="s">
        <v>1</v>
      </c>
      <c r="K46">
        <v>8</v>
      </c>
      <c r="M46">
        <f>VLOOKUP(H46+2,HVW!U$3:V$171,2,FALSE)</f>
        <v>8</v>
      </c>
      <c r="N46" t="str" cm="1">
        <f t="array" ref="N46">INDEX(HVW!E$3:E$950,M46)</f>
        <v>SG Schozach-Bottwartal</v>
      </c>
    </row>
    <row r="47" spans="1:14" x14ac:dyDescent="0.35">
      <c r="B47">
        <f t="shared" si="6"/>
        <v>7</v>
      </c>
      <c r="C47">
        <f t="shared" si="2"/>
        <v>6</v>
      </c>
      <c r="D47" t="str" cm="1">
        <f t="array" ref="D47">IF(C47=0,INDEX(D$10:D$97,B$36+1-B47),INDEX(I$41:I$1016,C47))</f>
        <v>OLW Platz 8</v>
      </c>
      <c r="E47" t="str" cm="1">
        <f t="array" ref="E47">IF(C47=0,INDEX(E$10:E$113,B$36+1-B47),INDEX(N$41:N$1016,C47))</f>
        <v>SG Schozach-Bottwartal</v>
      </c>
      <c r="F47">
        <f t="shared" si="3"/>
        <v>8</v>
      </c>
      <c r="G47">
        <f t="shared" si="4"/>
        <v>0</v>
      </c>
      <c r="H47">
        <f t="shared" si="7"/>
        <v>7</v>
      </c>
      <c r="I47" t="str">
        <f t="shared" si="5"/>
        <v>OLW Platz 9</v>
      </c>
      <c r="J47" t="s">
        <v>1</v>
      </c>
      <c r="K47">
        <v>9</v>
      </c>
      <c r="M47">
        <f>VLOOKUP(H47+2,HVW!U$3:V$171,2,FALSE)</f>
        <v>9</v>
      </c>
      <c r="N47" t="str" cm="1">
        <f t="array" ref="N47">INDEX(HVW!E$3:E$950,M47)</f>
        <v>SG H2Ku Herrenberg</v>
      </c>
    </row>
    <row r="48" spans="1:14" x14ac:dyDescent="0.35">
      <c r="B48">
        <f t="shared" si="6"/>
        <v>8</v>
      </c>
      <c r="C48">
        <f t="shared" si="2"/>
        <v>7</v>
      </c>
      <c r="D48" t="str" cm="1">
        <f t="array" ref="D48">IF(C48=0,INDEX(D$10:D$97,B$36+1-B48),INDEX(I$41:I$1016,C48))</f>
        <v>OLW Platz 9</v>
      </c>
      <c r="E48" t="str" cm="1">
        <f t="array" ref="E48">IF(C48=0,INDEX(E$10:E$113,B$36+1-B48),INDEX(N$41:N$1016,C48))</f>
        <v>SG H2Ku Herrenberg</v>
      </c>
      <c r="F48">
        <f t="shared" si="3"/>
        <v>9</v>
      </c>
      <c r="G48">
        <f t="shared" si="4"/>
        <v>0</v>
      </c>
      <c r="H48">
        <f t="shared" si="7"/>
        <v>8</v>
      </c>
      <c r="I48" t="str">
        <f t="shared" si="5"/>
        <v>OLW Platz 10</v>
      </c>
      <c r="J48" t="s">
        <v>1</v>
      </c>
      <c r="K48">
        <v>10</v>
      </c>
      <c r="M48">
        <f>VLOOKUP(H48+2,HVW!U$3:V$171,2,FALSE)</f>
        <v>10</v>
      </c>
      <c r="N48" t="str" cm="1">
        <f t="array" ref="N48">INDEX(HVW!E$3:E$950,M48)</f>
        <v>HSG Langenau/Elchingen</v>
      </c>
    </row>
    <row r="49" spans="2:14" x14ac:dyDescent="0.35">
      <c r="B49">
        <f t="shared" si="6"/>
        <v>9</v>
      </c>
      <c r="C49">
        <f t="shared" si="2"/>
        <v>8</v>
      </c>
      <c r="D49" t="str" cm="1">
        <f t="array" ref="D49">IF(C49=0,INDEX(D$10:D$97,B$36+1-B49),INDEX(I$41:I$1016,C49))</f>
        <v>OLW Platz 10</v>
      </c>
      <c r="E49" t="str" cm="1">
        <f t="array" ref="E49">IF(C49=0,INDEX(E$10:E$113,B$36+1-B49),INDEX(N$41:N$1016,C49))</f>
        <v>HSG Langenau/Elchingen</v>
      </c>
      <c r="F49">
        <f t="shared" si="3"/>
        <v>10</v>
      </c>
      <c r="G49">
        <f t="shared" si="4"/>
        <v>0</v>
      </c>
      <c r="H49">
        <f t="shared" si="7"/>
        <v>9</v>
      </c>
      <c r="I49" t="str">
        <f t="shared" si="5"/>
        <v>OLW Platz 11</v>
      </c>
      <c r="J49" t="s">
        <v>1</v>
      </c>
      <c r="K49">
        <v>11</v>
      </c>
      <c r="M49">
        <f>VLOOKUP(H49+2,HVW!U$3:V$171,2,FALSE)</f>
        <v>11</v>
      </c>
      <c r="N49" t="str" cm="1">
        <f t="array" ref="N49">INDEX(HVW!E$3:E$950,M49)</f>
        <v>TV Weilstetten</v>
      </c>
    </row>
    <row r="50" spans="2:14" x14ac:dyDescent="0.35">
      <c r="B50">
        <f t="shared" si="6"/>
        <v>10</v>
      </c>
      <c r="C50">
        <f t="shared" si="2"/>
        <v>9</v>
      </c>
      <c r="D50" t="str" cm="1">
        <f t="array" ref="D50">IF(C50=0,INDEX(D$10:D$97,B$36+1-B50),INDEX(I$41:I$1016,C50))</f>
        <v>OLW Platz 11</v>
      </c>
      <c r="E50" t="str" cm="1">
        <f t="array" ref="E50">IF(C50=0,INDEX(E$10:E$113,B$36+1-B50),INDEX(N$41:N$1016,C50))</f>
        <v>TV Weilstetten</v>
      </c>
      <c r="F50">
        <f t="shared" si="3"/>
        <v>11</v>
      </c>
      <c r="G50">
        <f t="shared" si="4"/>
        <v>0</v>
      </c>
      <c r="H50">
        <f t="shared" si="7"/>
        <v>10</v>
      </c>
      <c r="I50" t="str">
        <f t="shared" si="5"/>
        <v>OLW Platz 12</v>
      </c>
      <c r="J50" t="s">
        <v>1</v>
      </c>
      <c r="K50">
        <v>12</v>
      </c>
      <c r="M50">
        <f>VLOOKUP(H50+2,HVW!U$3:V$171,2,FALSE)</f>
        <v>12</v>
      </c>
      <c r="N50" t="str" cm="1">
        <f t="array" ref="N50">INDEX(HVW!E$3:E$950,M50)</f>
        <v>SG Lauterstein</v>
      </c>
    </row>
    <row r="51" spans="2:14" x14ac:dyDescent="0.35">
      <c r="B51">
        <f t="shared" si="6"/>
        <v>11</v>
      </c>
      <c r="C51">
        <f t="shared" si="2"/>
        <v>10</v>
      </c>
      <c r="D51" t="str" cm="1">
        <f t="array" ref="D51">IF(C51=0,INDEX(D$10:D$97,B$36+1-B51),INDEX(I$41:I$1016,C51))</f>
        <v>OLW Platz 12</v>
      </c>
      <c r="E51" t="str" cm="1">
        <f t="array" ref="E51">IF(C51=0,INDEX(E$10:E$113,B$36+1-B51),INDEX(N$41:N$1016,C51))</f>
        <v>SG Lauterstein</v>
      </c>
      <c r="F51">
        <f t="shared" si="3"/>
        <v>19</v>
      </c>
      <c r="G51">
        <f t="shared" si="4"/>
        <v>7</v>
      </c>
      <c r="H51" s="3">
        <f t="shared" si="7"/>
        <v>11</v>
      </c>
      <c r="I51" t="str">
        <f t="shared" si="5"/>
        <v>OLW Platz 13</v>
      </c>
      <c r="J51" t="s">
        <v>1</v>
      </c>
      <c r="K51">
        <v>13</v>
      </c>
      <c r="M51">
        <f>VLOOKUP(H51+2,HVW!U$3:V$171,2,FALSE)</f>
        <v>13</v>
      </c>
      <c r="N51" t="str" cm="1">
        <f t="array" ref="N51">INDEX(HVW!E$3:E$950,M51)</f>
        <v>TSV Deizisau</v>
      </c>
    </row>
    <row r="52" spans="2:14" x14ac:dyDescent="0.35">
      <c r="B52">
        <f t="shared" si="6"/>
        <v>12</v>
      </c>
      <c r="C52">
        <f t="shared" si="2"/>
        <v>13</v>
      </c>
      <c r="D52" t="str" cm="1">
        <f t="array" ref="D52">IF(C52=0,INDEX(D$10:D$97,B$36+1-B52),INDEX(I$41:I$1016,C52))</f>
        <v>VL Platz 1 Rang 1</v>
      </c>
      <c r="E52" t="str" cm="1">
        <f t="array" ref="E52">IF(C52=0,INDEX(E$10:E$113,B$36+1-B52),INDEX(N$41:N$1016,C52))</f>
        <v>SKV Unterensingen</v>
      </c>
      <c r="F52">
        <f t="shared" si="3"/>
        <v>20</v>
      </c>
      <c r="G52">
        <f t="shared" si="4"/>
        <v>7</v>
      </c>
      <c r="H52" s="3">
        <f t="shared" si="7"/>
        <v>12</v>
      </c>
      <c r="I52" t="str">
        <f>J52&amp;" Platz "&amp;K52</f>
        <v>OLW Platz 14</v>
      </c>
      <c r="J52" t="s">
        <v>1</v>
      </c>
      <c r="K52">
        <v>14</v>
      </c>
      <c r="M52">
        <f>VLOOKUP(H52+2,HVW!U$3:V$171,2,FALSE)</f>
        <v>14</v>
      </c>
      <c r="N52" t="str" cm="1">
        <f t="array" ref="N52">INDEX(HVW!E$3:E$950,M52)</f>
        <v>TV Oeffingen 1897</v>
      </c>
    </row>
    <row r="53" spans="2:14" x14ac:dyDescent="0.35">
      <c r="B53">
        <f t="shared" si="6"/>
        <v>13</v>
      </c>
      <c r="C53">
        <f t="shared" si="2"/>
        <v>14</v>
      </c>
      <c r="D53" t="str" cm="1">
        <f t="array" ref="D53">IF(C53=0,INDEX(D$10:D$97,B$36+1-B53),INDEX(I$41:I$1016,C53))</f>
        <v>VL Platz 1 Rang 2</v>
      </c>
      <c r="E53" t="str" cm="1">
        <f t="array" ref="E53">IF(C53=0,INDEX(E$10:E$113,B$36+1-B53),INDEX(N$41:N$1016,C53))</f>
        <v>TSV Bönnigheim</v>
      </c>
      <c r="F53">
        <f t="shared" si="3"/>
        <v>12</v>
      </c>
      <c r="G53">
        <f t="shared" si="4"/>
        <v>-2</v>
      </c>
      <c r="H53" s="2">
        <f t="shared" si="7"/>
        <v>13</v>
      </c>
      <c r="I53" t="str">
        <f>J53&amp;" Platz "&amp;K53&amp;" Rang "&amp;L53</f>
        <v>VL Platz 1 Rang 1</v>
      </c>
      <c r="J53" t="s">
        <v>2</v>
      </c>
      <c r="K53">
        <v>1</v>
      </c>
      <c r="L53">
        <v>1</v>
      </c>
      <c r="M53">
        <f>VLOOKUP(H53+2,HVW!U$3:V$171,2,FALSE)</f>
        <v>27</v>
      </c>
      <c r="N53" t="str" cm="1">
        <f t="array" ref="N53">INDEX(HVW!E$3:E$950,M53)</f>
        <v>SKV Unterensingen</v>
      </c>
    </row>
    <row r="54" spans="2:14" x14ac:dyDescent="0.35">
      <c r="B54">
        <f t="shared" si="6"/>
        <v>14</v>
      </c>
      <c r="C54">
        <f t="shared" si="2"/>
        <v>15</v>
      </c>
      <c r="D54" t="str" cm="1">
        <f t="array" ref="D54">IF(C54=0,INDEX(D$10:D$97,B$36+1-B54),INDEX(I$41:I$1016,C54))</f>
        <v>VL Platz 2 Rang 1</v>
      </c>
      <c r="E54" t="str" cm="1">
        <f t="array" ref="E54">IF(C54=0,INDEX(E$10:E$113,B$36+1-B54),INDEX(N$41:N$1016,C54))</f>
        <v>SG Hegensberg-Liebersbronn</v>
      </c>
      <c r="F54">
        <f t="shared" si="3"/>
        <v>13</v>
      </c>
      <c r="G54">
        <f t="shared" si="4"/>
        <v>-2</v>
      </c>
      <c r="H54" s="2">
        <f t="shared" si="7"/>
        <v>14</v>
      </c>
      <c r="I54" t="str">
        <f t="shared" ref="I54:I117" si="8">J54&amp;" Platz "&amp;K54&amp;" Rang "&amp;L54</f>
        <v>VL Platz 1 Rang 2</v>
      </c>
      <c r="J54" t="s">
        <v>2</v>
      </c>
      <c r="K54">
        <v>1</v>
      </c>
      <c r="L54">
        <v>2</v>
      </c>
      <c r="M54">
        <f>VLOOKUP(H54+2,HVW!U$3:V$171,2,FALSE)</f>
        <v>15</v>
      </c>
      <c r="N54" t="str" cm="1">
        <f t="array" ref="N54">INDEX(HVW!E$3:E$950,M54)</f>
        <v>TSV Bönnigheim</v>
      </c>
    </row>
    <row r="55" spans="2:14" x14ac:dyDescent="0.35">
      <c r="B55">
        <f t="shared" si="6"/>
        <v>15</v>
      </c>
      <c r="C55">
        <f t="shared" si="2"/>
        <v>16</v>
      </c>
      <c r="D55" t="str" cm="1">
        <f t="array" ref="D55">IF(C55=0,INDEX(D$10:D$97,B$36+1-B55),INDEX(I$41:I$1016,C55))</f>
        <v>VL Platz 2 Rang 2</v>
      </c>
      <c r="E55" t="str" cm="1">
        <f t="array" ref="E55">IF(C55=0,INDEX(E$10:E$113,B$36+1-B55),INDEX(N$41:N$1016,C55))</f>
        <v>TSV Altensteig</v>
      </c>
      <c r="F55">
        <f t="shared" si="3"/>
        <v>14</v>
      </c>
      <c r="G55">
        <f t="shared" si="4"/>
        <v>-2</v>
      </c>
      <c r="H55">
        <f t="shared" si="7"/>
        <v>15</v>
      </c>
      <c r="I55" t="str">
        <f t="shared" si="8"/>
        <v>VL Platz 2 Rang 1</v>
      </c>
      <c r="J55" t="s">
        <v>2</v>
      </c>
      <c r="K55">
        <f>K53+1</f>
        <v>2</v>
      </c>
      <c r="L55">
        <f>L53</f>
        <v>1</v>
      </c>
      <c r="M55">
        <f>VLOOKUP(H55+2,HVW!U$3:V$171,2,FALSE)</f>
        <v>28</v>
      </c>
      <c r="N55" t="str" cm="1">
        <f t="array" ref="N55">INDEX(HVW!E$3:E$950,M55)</f>
        <v>SG Hegensberg-Liebersbronn</v>
      </c>
    </row>
    <row r="56" spans="2:14" x14ac:dyDescent="0.35">
      <c r="B56">
        <f t="shared" si="6"/>
        <v>16</v>
      </c>
      <c r="C56">
        <f t="shared" si="2"/>
        <v>17</v>
      </c>
      <c r="D56" t="str" cm="1">
        <f t="array" ref="D56">IF(C56=0,INDEX(D$10:D$97,B$36+1-B56),INDEX(I$41:I$1016,C56))</f>
        <v>VL Platz 3 Rang 1</v>
      </c>
      <c r="E56" t="str" cm="1">
        <f t="array" ref="E56">IF(C56=0,INDEX(E$10:E$113,B$36+1-B56),INDEX(N$41:N$1016,C56))</f>
        <v>Handballregion Bottwar SG</v>
      </c>
      <c r="F56">
        <f t="shared" si="3"/>
        <v>15</v>
      </c>
      <c r="G56">
        <f t="shared" si="4"/>
        <v>-2</v>
      </c>
      <c r="H56">
        <f t="shared" si="7"/>
        <v>16</v>
      </c>
      <c r="I56" t="str">
        <f t="shared" si="8"/>
        <v>VL Platz 2 Rang 2</v>
      </c>
      <c r="J56" t="s">
        <v>2</v>
      </c>
      <c r="K56">
        <f t="shared" ref="K56:K76" si="9">K54+1</f>
        <v>2</v>
      </c>
      <c r="L56">
        <f t="shared" ref="L56:L76" si="10">L54</f>
        <v>2</v>
      </c>
      <c r="M56">
        <f>VLOOKUP(H56+2,HVW!U$3:V$171,2,FALSE)</f>
        <v>16</v>
      </c>
      <c r="N56" t="str" cm="1">
        <f t="array" ref="N56">INDEX(HVW!E$3:E$950,M56)</f>
        <v>TSV Altensteig</v>
      </c>
    </row>
    <row r="57" spans="2:14" x14ac:dyDescent="0.35">
      <c r="B57">
        <f t="shared" si="6"/>
        <v>17</v>
      </c>
      <c r="C57">
        <f t="shared" si="2"/>
        <v>18</v>
      </c>
      <c r="D57" t="str" cm="1">
        <f t="array" ref="D57">IF(C57=0,INDEX(D$10:D$97,B$36+1-B57),INDEX(I$41:I$1016,C57))</f>
        <v>VL Platz 3 Rang 2</v>
      </c>
      <c r="E57" t="str" cm="1">
        <f t="array" ref="E57">IF(C57=0,INDEX(E$10:E$113,B$36+1-B57),INDEX(N$41:N$1016,C57))</f>
        <v>TV Reichenbach</v>
      </c>
      <c r="F57">
        <f t="shared" si="3"/>
        <v>16</v>
      </c>
      <c r="G57">
        <f t="shared" si="4"/>
        <v>-2</v>
      </c>
      <c r="H57">
        <f t="shared" si="7"/>
        <v>17</v>
      </c>
      <c r="I57" t="str">
        <f t="shared" si="8"/>
        <v>VL Platz 3 Rang 1</v>
      </c>
      <c r="J57" t="s">
        <v>2</v>
      </c>
      <c r="K57">
        <f t="shared" si="9"/>
        <v>3</v>
      </c>
      <c r="L57">
        <f t="shared" si="10"/>
        <v>1</v>
      </c>
      <c r="M57">
        <f>VLOOKUP(H57+2,HVW!U$3:V$171,2,FALSE)</f>
        <v>17</v>
      </c>
      <c r="N57" t="str" cm="1">
        <f t="array" ref="N57">INDEX(HVW!E$3:E$950,M57)</f>
        <v>Handballregion Bottwar SG</v>
      </c>
    </row>
    <row r="58" spans="2:14" x14ac:dyDescent="0.35">
      <c r="B58">
        <f t="shared" si="6"/>
        <v>18</v>
      </c>
      <c r="C58">
        <f t="shared" si="2"/>
        <v>19</v>
      </c>
      <c r="D58" t="str" cm="1">
        <f t="array" ref="D58">IF(C58=0,INDEX(D$10:D$97,B$36+1-B58),INDEX(I$41:I$1016,C58))</f>
        <v>VL Platz 4 Rang 1</v>
      </c>
      <c r="E58" t="str" cm="1">
        <f t="array" ref="E58">IF(C58=0,INDEX(E$10:E$113,B$36+1-B58),INDEX(N$41:N$1016,C58))</f>
        <v>TG Schömberg</v>
      </c>
      <c r="F58">
        <f t="shared" si="3"/>
        <v>17</v>
      </c>
      <c r="G58">
        <f t="shared" si="4"/>
        <v>-2</v>
      </c>
      <c r="H58">
        <f t="shared" si="7"/>
        <v>18</v>
      </c>
      <c r="I58" t="str">
        <f t="shared" si="8"/>
        <v>VL Platz 3 Rang 2</v>
      </c>
      <c r="J58" t="s">
        <v>2</v>
      </c>
      <c r="K58">
        <f t="shared" si="9"/>
        <v>3</v>
      </c>
      <c r="L58">
        <f t="shared" si="10"/>
        <v>2</v>
      </c>
      <c r="M58">
        <f>VLOOKUP(H58+2,HVW!U$3:V$171,2,FALSE)</f>
        <v>29</v>
      </c>
      <c r="N58" t="str" cm="1">
        <f t="array" ref="N58">INDEX(HVW!E$3:E$950,M58)</f>
        <v>TV Reichenbach</v>
      </c>
    </row>
    <row r="59" spans="2:14" x14ac:dyDescent="0.35">
      <c r="B59">
        <f t="shared" si="6"/>
        <v>19</v>
      </c>
      <c r="C59">
        <f t="shared" si="2"/>
        <v>11</v>
      </c>
      <c r="D59" t="str" cm="1">
        <f t="array" ref="D59">IF(C59=0,INDEX(D$10:D$97,B$36+1-B59),INDEX(I$41:I$1016,C59))</f>
        <v>OLW Platz 13</v>
      </c>
      <c r="E59" t="str" cm="1">
        <f t="array" ref="E59">IF(C59=0,INDEX(E$10:E$113,B$36+1-B59),INDEX(N$41:N$1016,C59))</f>
        <v>TSV Deizisau</v>
      </c>
      <c r="F59">
        <f t="shared" si="3"/>
        <v>18</v>
      </c>
      <c r="G59">
        <f t="shared" si="4"/>
        <v>-2</v>
      </c>
      <c r="H59">
        <f t="shared" si="7"/>
        <v>19</v>
      </c>
      <c r="I59" t="str">
        <f t="shared" si="8"/>
        <v>VL Platz 4 Rang 1</v>
      </c>
      <c r="J59" t="s">
        <v>2</v>
      </c>
      <c r="K59">
        <f t="shared" si="9"/>
        <v>4</v>
      </c>
      <c r="L59">
        <f t="shared" si="10"/>
        <v>1</v>
      </c>
      <c r="M59">
        <f>VLOOKUP(H59+2,HVW!U$3:V$171,2,FALSE)</f>
        <v>30</v>
      </c>
      <c r="N59" t="str" cm="1">
        <f t="array" ref="N59">INDEX(HVW!E$3:E$950,M59)</f>
        <v>TG Schömberg</v>
      </c>
    </row>
    <row r="60" spans="2:14" x14ac:dyDescent="0.35">
      <c r="B60">
        <f t="shared" si="6"/>
        <v>20</v>
      </c>
      <c r="C60">
        <f t="shared" si="2"/>
        <v>12</v>
      </c>
      <c r="D60" t="str" cm="1">
        <f t="array" ref="D60">IF(C60=0,INDEX(D$10:D$97,B$36+1-B60),INDEX(I$41:I$1016,C60))</f>
        <v>OLW Platz 14</v>
      </c>
      <c r="E60" t="str" cm="1">
        <f t="array" ref="E60">IF(C60=0,INDEX(E$10:E$113,B$36+1-B60),INDEX(N$41:N$1016,C60))</f>
        <v>TV Oeffingen 1897</v>
      </c>
      <c r="F60">
        <f t="shared" si="3"/>
        <v>21</v>
      </c>
      <c r="G60">
        <f t="shared" si="4"/>
        <v>0</v>
      </c>
      <c r="H60">
        <f t="shared" si="7"/>
        <v>20</v>
      </c>
      <c r="I60" t="str">
        <f t="shared" si="8"/>
        <v>VL Platz 4 Rang 2</v>
      </c>
      <c r="J60" t="s">
        <v>2</v>
      </c>
      <c r="K60">
        <f t="shared" si="9"/>
        <v>4</v>
      </c>
      <c r="L60">
        <f t="shared" si="10"/>
        <v>2</v>
      </c>
      <c r="M60">
        <f>VLOOKUP(H60+2,HVW!U$3:V$171,2,FALSE)</f>
        <v>18</v>
      </c>
      <c r="N60" t="str" cm="1">
        <f t="array" ref="N60">INDEX(HVW!E$3:E$950,M60)</f>
        <v>TSV Alfdorf/Lorch/Waldhausen</v>
      </c>
    </row>
    <row r="61" spans="2:14" x14ac:dyDescent="0.35">
      <c r="B61">
        <f t="shared" si="6"/>
        <v>21</v>
      </c>
      <c r="C61">
        <f t="shared" si="2"/>
        <v>20</v>
      </c>
      <c r="D61" t="str" cm="1">
        <f t="array" ref="D61">IF(C61=0,INDEX(D$10:D$97,B$36+1-B61),INDEX(I$41:I$1016,C61))</f>
        <v>VL Platz 4 Rang 2</v>
      </c>
      <c r="E61" t="str" cm="1">
        <f t="array" ref="E61">IF(C61=0,INDEX(E$10:E$113,B$36+1-B61),INDEX(N$41:N$1016,C61))</f>
        <v>TSV Alfdorf/Lorch/Waldhausen</v>
      </c>
      <c r="F61">
        <f t="shared" si="3"/>
        <v>22</v>
      </c>
      <c r="G61">
        <f t="shared" si="4"/>
        <v>0</v>
      </c>
      <c r="H61">
        <f t="shared" si="7"/>
        <v>21</v>
      </c>
      <c r="I61" t="str">
        <f t="shared" si="8"/>
        <v>VL Platz 5 Rang 1</v>
      </c>
      <c r="J61" t="s">
        <v>2</v>
      </c>
      <c r="K61">
        <f t="shared" si="9"/>
        <v>5</v>
      </c>
      <c r="L61">
        <f t="shared" si="10"/>
        <v>1</v>
      </c>
      <c r="M61">
        <f>VLOOKUP(H61+2,HVW!U$3:V$171,2,FALSE)</f>
        <v>31</v>
      </c>
      <c r="N61" t="str" cm="1">
        <f t="array" ref="N61">INDEX(HVW!E$3:E$950,M61)</f>
        <v>SG Ober-/Unterhausen</v>
      </c>
    </row>
    <row r="62" spans="2:14" x14ac:dyDescent="0.35">
      <c r="B62">
        <f t="shared" si="6"/>
        <v>22</v>
      </c>
      <c r="C62">
        <f t="shared" si="2"/>
        <v>21</v>
      </c>
      <c r="D62" t="str" cm="1">
        <f t="array" ref="D62">IF(C62=0,INDEX(D$10:D$97,B$36+1-B62),INDEX(I$41:I$1016,C62))</f>
        <v>VL Platz 5 Rang 1</v>
      </c>
      <c r="E62" t="str" cm="1">
        <f t="array" ref="E62">IF(C62=0,INDEX(E$10:E$113,B$36+1-B62),INDEX(N$41:N$1016,C62))</f>
        <v>SG Ober-/Unterhausen</v>
      </c>
      <c r="F62">
        <f t="shared" si="3"/>
        <v>23</v>
      </c>
      <c r="G62">
        <f t="shared" si="4"/>
        <v>0</v>
      </c>
      <c r="H62">
        <f t="shared" si="7"/>
        <v>22</v>
      </c>
      <c r="I62" t="str">
        <f t="shared" si="8"/>
        <v>VL Platz 5 Rang 2</v>
      </c>
      <c r="J62" t="s">
        <v>2</v>
      </c>
      <c r="K62">
        <f t="shared" si="9"/>
        <v>5</v>
      </c>
      <c r="L62">
        <f t="shared" si="10"/>
        <v>2</v>
      </c>
      <c r="M62">
        <f>VLOOKUP(H62+2,HVW!U$3:V$171,2,FALSE)</f>
        <v>19</v>
      </c>
      <c r="N62" t="str" cm="1">
        <f t="array" ref="N62">INDEX(HVW!E$3:E$950,M62)</f>
        <v>Sport-Union Neckarsulm</v>
      </c>
    </row>
    <row r="63" spans="2:14" x14ac:dyDescent="0.35">
      <c r="B63">
        <f t="shared" si="6"/>
        <v>23</v>
      </c>
      <c r="C63">
        <f t="shared" si="2"/>
        <v>22</v>
      </c>
      <c r="D63" t="str" cm="1">
        <f t="array" ref="D63">IF(C63=0,INDEX(D$10:D$97,B$36+1-B63),INDEX(I$41:I$1016,C63))</f>
        <v>VL Platz 5 Rang 2</v>
      </c>
      <c r="E63" t="str" cm="1">
        <f t="array" ref="E63">IF(C63=0,INDEX(E$10:E$113,B$36+1-B63),INDEX(N$41:N$1016,C63))</f>
        <v>Sport-Union Neckarsulm</v>
      </c>
      <c r="F63">
        <f t="shared" si="3"/>
        <v>24</v>
      </c>
      <c r="G63">
        <f t="shared" si="4"/>
        <v>0</v>
      </c>
      <c r="H63">
        <f t="shared" si="7"/>
        <v>23</v>
      </c>
      <c r="I63" t="str">
        <f t="shared" si="8"/>
        <v>VL Platz 6 Rang 1</v>
      </c>
      <c r="J63" t="s">
        <v>2</v>
      </c>
      <c r="K63">
        <f t="shared" si="9"/>
        <v>6</v>
      </c>
      <c r="L63">
        <f t="shared" si="10"/>
        <v>1</v>
      </c>
      <c r="M63">
        <f>VLOOKUP(H63+2,HVW!U$3:V$171,2,FALSE)</f>
        <v>32</v>
      </c>
      <c r="N63" t="str" cm="1">
        <f t="array" ref="N63">INDEX(HVW!E$3:E$950,M63)</f>
        <v>TSV Denkendorf</v>
      </c>
    </row>
    <row r="64" spans="2:14" x14ac:dyDescent="0.35">
      <c r="B64">
        <f t="shared" si="6"/>
        <v>24</v>
      </c>
      <c r="C64">
        <f t="shared" si="2"/>
        <v>23</v>
      </c>
      <c r="D64" t="str" cm="1">
        <f t="array" ref="D64">IF(C64=0,INDEX(D$10:D$97,B$36+1-B64),INDEX(I$41:I$1016,C64))</f>
        <v>VL Platz 6 Rang 1</v>
      </c>
      <c r="E64" t="str" cm="1">
        <f t="array" ref="E64">IF(C64=0,INDEX(E$10:E$113,B$36+1-B64),INDEX(N$41:N$1016,C64))</f>
        <v>TSV Denkendorf</v>
      </c>
      <c r="F64">
        <f t="shared" si="3"/>
        <v>25</v>
      </c>
      <c r="G64">
        <f t="shared" si="4"/>
        <v>0</v>
      </c>
      <c r="H64">
        <f t="shared" si="7"/>
        <v>24</v>
      </c>
      <c r="I64" t="str">
        <f t="shared" si="8"/>
        <v>VL Platz 6 Rang 2</v>
      </c>
      <c r="J64" t="s">
        <v>2</v>
      </c>
      <c r="K64">
        <f t="shared" si="9"/>
        <v>6</v>
      </c>
      <c r="L64">
        <f t="shared" si="10"/>
        <v>2</v>
      </c>
      <c r="M64">
        <f>VLOOKUP(H64+2,HVW!U$3:V$171,2,FALSE)</f>
        <v>20</v>
      </c>
      <c r="N64" t="str" cm="1">
        <f t="array" ref="N64">INDEX(HVW!E$3:E$950,M64)</f>
        <v>SG Hofen/Hüttlingen</v>
      </c>
    </row>
    <row r="65" spans="2:14" x14ac:dyDescent="0.35">
      <c r="B65">
        <f t="shared" si="6"/>
        <v>25</v>
      </c>
      <c r="C65">
        <f t="shared" si="2"/>
        <v>24</v>
      </c>
      <c r="D65" t="str" cm="1">
        <f t="array" ref="D65">IF(C65=0,INDEX(D$10:D$97,B$36+1-B65),INDEX(I$41:I$1016,C65))</f>
        <v>VL Platz 6 Rang 2</v>
      </c>
      <c r="E65" t="str" cm="1">
        <f t="array" ref="E65">IF(C65=0,INDEX(E$10:E$113,B$36+1-B65),INDEX(N$41:N$1016,C65))</f>
        <v>SG Hofen/Hüttlingen</v>
      </c>
      <c r="F65">
        <f t="shared" si="3"/>
        <v>26</v>
      </c>
      <c r="G65">
        <f t="shared" si="4"/>
        <v>0</v>
      </c>
      <c r="H65">
        <f t="shared" si="7"/>
        <v>25</v>
      </c>
      <c r="I65" t="str">
        <f t="shared" si="8"/>
        <v>VL Platz 7 Rang 1</v>
      </c>
      <c r="J65" t="s">
        <v>2</v>
      </c>
      <c r="K65">
        <f t="shared" si="9"/>
        <v>7</v>
      </c>
      <c r="L65">
        <f t="shared" si="10"/>
        <v>1</v>
      </c>
      <c r="M65">
        <f>VLOOKUP(H65+2,HVW!U$3:V$171,2,FALSE)</f>
        <v>33</v>
      </c>
      <c r="N65" t="str" cm="1">
        <f t="array" ref="N65">INDEX(HVW!E$3:E$950,M65)</f>
        <v>Spvgg Mössingen</v>
      </c>
    </row>
    <row r="66" spans="2:14" x14ac:dyDescent="0.35">
      <c r="B66">
        <f t="shared" si="6"/>
        <v>26</v>
      </c>
      <c r="C66">
        <f t="shared" si="2"/>
        <v>25</v>
      </c>
      <c r="D66" t="str" cm="1">
        <f t="array" ref="D66">IF(C66=0,INDEX(D$10:D$97,B$36+1-B66),INDEX(I$41:I$1016,C66))</f>
        <v>VL Platz 7 Rang 1</v>
      </c>
      <c r="E66" t="str" cm="1">
        <f t="array" ref="E66">IF(C66=0,INDEX(E$10:E$113,B$36+1-B66),INDEX(N$41:N$1016,C66))</f>
        <v>Spvgg Mössingen</v>
      </c>
      <c r="F66">
        <f t="shared" si="3"/>
        <v>27</v>
      </c>
      <c r="G66">
        <f t="shared" si="4"/>
        <v>0</v>
      </c>
      <c r="H66">
        <f t="shared" si="7"/>
        <v>26</v>
      </c>
      <c r="I66" t="str">
        <f t="shared" si="8"/>
        <v>VL Platz 7 Rang 2</v>
      </c>
      <c r="J66" t="s">
        <v>2</v>
      </c>
      <c r="K66">
        <f t="shared" si="9"/>
        <v>7</v>
      </c>
      <c r="L66">
        <f t="shared" si="10"/>
        <v>2</v>
      </c>
      <c r="M66">
        <f>VLOOKUP(H66+2,HVW!U$3:V$171,2,FALSE)</f>
        <v>21</v>
      </c>
      <c r="N66" t="str" cm="1">
        <f t="array" ref="N66">INDEX(HVW!E$3:E$950,M66)</f>
        <v>TSF Ditzingen</v>
      </c>
    </row>
    <row r="67" spans="2:14" x14ac:dyDescent="0.35">
      <c r="B67">
        <f t="shared" si="6"/>
        <v>27</v>
      </c>
      <c r="C67">
        <f t="shared" si="2"/>
        <v>26</v>
      </c>
      <c r="D67" t="str" cm="1">
        <f t="array" ref="D67">IF(C67=0,INDEX(D$10:D$97,B$36+1-B67),INDEX(I$41:I$1016,C67))</f>
        <v>VL Platz 7 Rang 2</v>
      </c>
      <c r="E67" t="str" cm="1">
        <f t="array" ref="E67">IF(C67=0,INDEX(E$10:E$113,B$36+1-B67),INDEX(N$41:N$1016,C67))</f>
        <v>TSF Ditzingen</v>
      </c>
      <c r="F67">
        <f t="shared" si="3"/>
        <v>28</v>
      </c>
      <c r="G67">
        <f t="shared" si="4"/>
        <v>0</v>
      </c>
      <c r="H67">
        <f t="shared" si="7"/>
        <v>27</v>
      </c>
      <c r="I67" t="str">
        <f t="shared" si="8"/>
        <v>VL Platz 8 Rang 1</v>
      </c>
      <c r="J67" t="s">
        <v>2</v>
      </c>
      <c r="K67">
        <f t="shared" si="9"/>
        <v>8</v>
      </c>
      <c r="L67">
        <f t="shared" si="10"/>
        <v>1</v>
      </c>
      <c r="M67">
        <f>VLOOKUP(H67+2,HVW!U$3:V$171,2,FALSE)</f>
        <v>22</v>
      </c>
      <c r="N67" t="str" cm="1">
        <f t="array" ref="N67">INDEX(HVW!E$3:E$950,M67)</f>
        <v>HSG Böblingen/Sindelfingen</v>
      </c>
    </row>
    <row r="68" spans="2:14" x14ac:dyDescent="0.35">
      <c r="B68">
        <f t="shared" si="6"/>
        <v>28</v>
      </c>
      <c r="C68">
        <f t="shared" si="2"/>
        <v>27</v>
      </c>
      <c r="D68" t="str" cm="1">
        <f t="array" ref="D68">IF(C68=0,INDEX(D$10:D$97,B$36+1-B68),INDEX(I$41:I$1016,C68))</f>
        <v>VL Platz 8 Rang 1</v>
      </c>
      <c r="E68" t="str" cm="1">
        <f t="array" ref="E68">IF(C68=0,INDEX(E$10:E$113,B$36+1-B68),INDEX(N$41:N$1016,C68))</f>
        <v>HSG Böblingen/Sindelfingen</v>
      </c>
      <c r="F68">
        <f t="shared" si="3"/>
        <v>29</v>
      </c>
      <c r="G68">
        <f t="shared" si="4"/>
        <v>0</v>
      </c>
      <c r="H68">
        <f t="shared" si="7"/>
        <v>28</v>
      </c>
      <c r="I68" t="str">
        <f t="shared" si="8"/>
        <v>VL Platz 8 Rang 2</v>
      </c>
      <c r="J68" t="s">
        <v>2</v>
      </c>
      <c r="K68">
        <f t="shared" si="9"/>
        <v>8</v>
      </c>
      <c r="L68">
        <f t="shared" si="10"/>
        <v>2</v>
      </c>
      <c r="M68">
        <f>VLOOKUP(H68+2,HVW!U$3:V$171,2,FALSE)</f>
        <v>34</v>
      </c>
      <c r="N68" t="str" cm="1">
        <f t="array" ref="N68">INDEX(HVW!E$3:E$950,M68)</f>
        <v>TSV 1848 Bad Saulgau</v>
      </c>
    </row>
    <row r="69" spans="2:14" x14ac:dyDescent="0.35">
      <c r="B69">
        <f t="shared" si="6"/>
        <v>29</v>
      </c>
      <c r="C69">
        <f t="shared" si="2"/>
        <v>28</v>
      </c>
      <c r="D69" t="str" cm="1">
        <f t="array" ref="D69">IF(C69=0,INDEX(D$10:D$97,B$36+1-B69),INDEX(I$41:I$1016,C69))</f>
        <v>VL Platz 8 Rang 2</v>
      </c>
      <c r="E69" t="str" cm="1">
        <f t="array" ref="E69">IF(C69=0,INDEX(E$10:E$113,B$36+1-B69),INDEX(N$41:N$1016,C69))</f>
        <v>TSV 1848 Bad Saulgau</v>
      </c>
      <c r="F69">
        <f t="shared" si="3"/>
        <v>30</v>
      </c>
      <c r="G69">
        <f t="shared" si="4"/>
        <v>0</v>
      </c>
      <c r="H69">
        <f t="shared" si="7"/>
        <v>29</v>
      </c>
      <c r="I69" t="str">
        <f t="shared" si="8"/>
        <v>VL Platz 9 Rang 1</v>
      </c>
      <c r="J69" t="s">
        <v>2</v>
      </c>
      <c r="K69">
        <f t="shared" si="9"/>
        <v>9</v>
      </c>
      <c r="L69">
        <f t="shared" si="10"/>
        <v>1</v>
      </c>
      <c r="M69">
        <f>VLOOKUP(H69+2,HVW!U$3:V$171,2,FALSE)</f>
        <v>23</v>
      </c>
      <c r="N69" t="str" cm="1">
        <f t="array" ref="N69">INDEX(HVW!E$3:E$950,M69)</f>
        <v>SV Fellbach</v>
      </c>
    </row>
    <row r="70" spans="2:14" x14ac:dyDescent="0.35">
      <c r="B70">
        <f t="shared" si="6"/>
        <v>30</v>
      </c>
      <c r="C70">
        <f t="shared" si="2"/>
        <v>29</v>
      </c>
      <c r="D70" t="str" cm="1">
        <f t="array" ref="D70">IF(C70=0,INDEX(D$10:D$97,B$36+1-B70),INDEX(I$41:I$1016,C70))</f>
        <v>VL Platz 9 Rang 1</v>
      </c>
      <c r="E70" t="str" cm="1">
        <f t="array" ref="E70">IF(C70=0,INDEX(E$10:E$113,B$36+1-B70),INDEX(N$41:N$1016,C70))</f>
        <v>SV Fellbach</v>
      </c>
      <c r="F70">
        <f t="shared" si="3"/>
        <v>31</v>
      </c>
      <c r="G70">
        <f t="shared" si="4"/>
        <v>0</v>
      </c>
      <c r="H70">
        <f t="shared" si="7"/>
        <v>30</v>
      </c>
      <c r="I70" t="str">
        <f t="shared" si="8"/>
        <v>VL Platz 9 Rang 2</v>
      </c>
      <c r="J70" t="s">
        <v>2</v>
      </c>
      <c r="K70">
        <f t="shared" si="9"/>
        <v>9</v>
      </c>
      <c r="L70">
        <f t="shared" si="10"/>
        <v>2</v>
      </c>
      <c r="M70">
        <f>VLOOKUP(H70+2,HVW!U$3:V$171,2,FALSE)</f>
        <v>35</v>
      </c>
      <c r="N70" t="str" cm="1">
        <f t="array" ref="N70">INDEX(HVW!E$3:E$950,M70)</f>
        <v>TEAM Esslingen</v>
      </c>
    </row>
    <row r="71" spans="2:14" x14ac:dyDescent="0.35">
      <c r="B71">
        <f t="shared" si="6"/>
        <v>31</v>
      </c>
      <c r="C71">
        <f t="shared" si="2"/>
        <v>30</v>
      </c>
      <c r="D71" t="str" cm="1">
        <f t="array" ref="D71">IF(C71=0,INDEX(D$10:D$97,B$36+1-B71),INDEX(I$41:I$1016,C71))</f>
        <v>VL Platz 9 Rang 2</v>
      </c>
      <c r="E71" t="str" cm="1">
        <f t="array" ref="E71">IF(C71=0,INDEX(E$10:E$113,B$36+1-B71),INDEX(N$41:N$1016,C71))</f>
        <v>TEAM Esslingen</v>
      </c>
      <c r="F71">
        <f t="shared" si="3"/>
        <v>32</v>
      </c>
      <c r="G71">
        <f t="shared" si="4"/>
        <v>0</v>
      </c>
      <c r="H71">
        <f t="shared" si="7"/>
        <v>31</v>
      </c>
      <c r="I71" t="str">
        <f t="shared" si="8"/>
        <v>VL Platz 10 Rang 1</v>
      </c>
      <c r="J71" t="s">
        <v>2</v>
      </c>
      <c r="K71">
        <f t="shared" si="9"/>
        <v>10</v>
      </c>
      <c r="L71">
        <f t="shared" si="10"/>
        <v>1</v>
      </c>
      <c r="M71">
        <f>VLOOKUP(H71+2,HVW!U$3:V$171,2,FALSE)</f>
        <v>24</v>
      </c>
      <c r="N71" t="str" cm="1">
        <f t="array" ref="N71">INDEX(HVW!E$3:E$950,M71)</f>
        <v>SV Remshalden</v>
      </c>
    </row>
    <row r="72" spans="2:14" x14ac:dyDescent="0.35">
      <c r="B72">
        <f t="shared" si="6"/>
        <v>32</v>
      </c>
      <c r="C72">
        <f t="shared" si="2"/>
        <v>31</v>
      </c>
      <c r="D72" t="str" cm="1">
        <f t="array" ref="D72">IF(C72=0,INDEX(D$10:D$97,B$36+1-B72),INDEX(I$41:I$1016,C72))</f>
        <v>VL Platz 10 Rang 1</v>
      </c>
      <c r="E72" t="str" cm="1">
        <f t="array" ref="E72">IF(C72=0,INDEX(E$10:E$113,B$36+1-B72),INDEX(N$41:N$1016,C72))</f>
        <v>SV Remshalden</v>
      </c>
      <c r="F72">
        <f t="shared" si="3"/>
        <v>33</v>
      </c>
      <c r="G72">
        <f t="shared" si="4"/>
        <v>0</v>
      </c>
      <c r="H72">
        <f t="shared" si="7"/>
        <v>32</v>
      </c>
      <c r="I72" t="str">
        <f t="shared" si="8"/>
        <v>VL Platz 10 Rang 2</v>
      </c>
      <c r="J72" t="s">
        <v>2</v>
      </c>
      <c r="K72">
        <f t="shared" si="9"/>
        <v>10</v>
      </c>
      <c r="L72">
        <f t="shared" si="10"/>
        <v>2</v>
      </c>
      <c r="M72">
        <f>VLOOKUP(H72+2,HVW!U$3:V$171,2,FALSE)</f>
        <v>36</v>
      </c>
      <c r="N72" t="str" cm="1">
        <f t="array" ref="N72">INDEX(HVW!E$3:E$950,M72)</f>
        <v>VfL Pfullingen 2</v>
      </c>
    </row>
    <row r="73" spans="2:14" x14ac:dyDescent="0.35">
      <c r="B73">
        <f t="shared" si="6"/>
        <v>33</v>
      </c>
      <c r="C73">
        <f t="shared" ref="C73:C104" si="11">IF(B73&lt;=B$36,0,VLOOKUP(B73,$F$41:$H$168,3,FALSE))</f>
        <v>32</v>
      </c>
      <c r="D73" t="str" cm="1">
        <f t="array" ref="D73">IF(C73=0,INDEX(D$10:D$97,B$36+1-B73),INDEX(I$41:I$1016,C73))</f>
        <v>VL Platz 10 Rang 2</v>
      </c>
      <c r="E73" t="str" cm="1">
        <f t="array" ref="E73">IF(C73=0,INDEX(E$10:E$113,B$36+1-B73),INDEX(N$41:N$1016,C73))</f>
        <v>VfL Pfullingen 2</v>
      </c>
      <c r="F73">
        <f t="shared" ref="F73:F104" si="12">H73+G73+B$36</f>
        <v>34</v>
      </c>
      <c r="G73">
        <f t="shared" ref="G73:G104" si="13">VLOOKUP(H73,I$28:J$36,2,TRUE)</f>
        <v>0</v>
      </c>
      <c r="H73">
        <f t="shared" si="7"/>
        <v>33</v>
      </c>
      <c r="I73" t="str">
        <f t="shared" si="8"/>
        <v>VL Platz 11 Rang 1</v>
      </c>
      <c r="J73" t="s">
        <v>2</v>
      </c>
      <c r="K73">
        <f t="shared" si="9"/>
        <v>11</v>
      </c>
      <c r="L73">
        <f t="shared" si="10"/>
        <v>1</v>
      </c>
      <c r="M73">
        <f>VLOOKUP(H73+2,HVW!U$3:V$171,2,FALSE)</f>
        <v>25</v>
      </c>
      <c r="N73" t="str" cm="1">
        <f t="array" ref="N73">INDEX(HVW!E$3:E$950,M73)</f>
        <v>SF Schwaikheim</v>
      </c>
    </row>
    <row r="74" spans="2:14" x14ac:dyDescent="0.35">
      <c r="B74">
        <f t="shared" ref="B74:B105" si="14">1+B73</f>
        <v>34</v>
      </c>
      <c r="C74">
        <f t="shared" si="11"/>
        <v>33</v>
      </c>
      <c r="D74" t="str" cm="1">
        <f t="array" ref="D74">IF(C74=0,INDEX(D$10:D$97,B$36+1-B74),INDEX(I$41:I$1016,C74))</f>
        <v>VL Platz 11 Rang 1</v>
      </c>
      <c r="E74" t="str" cm="1">
        <f t="array" ref="E74">IF(C74=0,INDEX(E$10:E$113,B$36+1-B74),INDEX(N$41:N$1016,C74))</f>
        <v>SF Schwaikheim</v>
      </c>
      <c r="F74">
        <f t="shared" si="12"/>
        <v>35</v>
      </c>
      <c r="G74">
        <f t="shared" si="13"/>
        <v>0</v>
      </c>
      <c r="H74">
        <f t="shared" ref="H74:H105" si="15">1+H73</f>
        <v>34</v>
      </c>
      <c r="I74" t="str">
        <f t="shared" si="8"/>
        <v>VL Platz 11 Rang 2</v>
      </c>
      <c r="J74" t="s">
        <v>2</v>
      </c>
      <c r="K74">
        <f t="shared" si="9"/>
        <v>11</v>
      </c>
      <c r="L74">
        <f t="shared" si="10"/>
        <v>2</v>
      </c>
      <c r="M74">
        <f>VLOOKUP(H74+2,HVW!U$3:V$171,2,FALSE)</f>
        <v>37</v>
      </c>
      <c r="N74" t="str" cm="1">
        <f t="array" ref="N74">INDEX(HVW!E$3:E$950,M74)</f>
        <v>HSG Winzingen-Wißgoldingen-Donzdorf</v>
      </c>
    </row>
    <row r="75" spans="2:14" x14ac:dyDescent="0.35">
      <c r="B75">
        <f t="shared" si="14"/>
        <v>35</v>
      </c>
      <c r="C75">
        <f t="shared" si="11"/>
        <v>34</v>
      </c>
      <c r="D75" t="str" cm="1">
        <f t="array" ref="D75">IF(C75=0,INDEX(D$10:D$97,B$36+1-B75),INDEX(I$41:I$1016,C75))</f>
        <v>VL Platz 11 Rang 2</v>
      </c>
      <c r="E75" t="str" cm="1">
        <f t="array" ref="E75">IF(C75=0,INDEX(E$10:E$113,B$36+1-B75),INDEX(N$41:N$1016,C75))</f>
        <v>HSG Winzingen-Wißgoldingen-Donzdorf</v>
      </c>
      <c r="F75">
        <f t="shared" si="12"/>
        <v>53</v>
      </c>
      <c r="G75">
        <f t="shared" si="13"/>
        <v>17</v>
      </c>
      <c r="H75">
        <f t="shared" si="15"/>
        <v>35</v>
      </c>
      <c r="I75" t="str">
        <f t="shared" si="8"/>
        <v>VL Platz 12 Rang 1</v>
      </c>
      <c r="J75" t="s">
        <v>2</v>
      </c>
      <c r="K75">
        <f t="shared" si="9"/>
        <v>12</v>
      </c>
      <c r="L75">
        <f t="shared" si="10"/>
        <v>1</v>
      </c>
      <c r="M75">
        <f>VLOOKUP(H75+2,HVW!U$3:V$171,2,FALSE)</f>
        <v>26</v>
      </c>
      <c r="N75" t="str" cm="1">
        <f t="array" ref="N75">INDEX(HVW!E$3:E$950,M75)</f>
        <v>TSV Asperg</v>
      </c>
    </row>
    <row r="76" spans="2:14" x14ac:dyDescent="0.35">
      <c r="B76">
        <f t="shared" si="14"/>
        <v>36</v>
      </c>
      <c r="C76">
        <f t="shared" si="11"/>
        <v>37</v>
      </c>
      <c r="D76" t="str" cm="1">
        <f t="array" ref="D76">IF(C76=0,INDEX(D$10:D$97,B$36+1-B76),INDEX(I$41:I$1016,C76))</f>
        <v>LL Platz 1 Rang 1</v>
      </c>
      <c r="E76" t="str" cm="1">
        <f t="array" ref="E76">IF(C76=0,INDEX(E$10:E$113,B$36+1-B76),INDEX(N$41:N$1016,C76))</f>
        <v>HSG Rottweil</v>
      </c>
      <c r="F76">
        <f t="shared" si="12"/>
        <v>54</v>
      </c>
      <c r="G76">
        <f t="shared" si="13"/>
        <v>17</v>
      </c>
      <c r="H76">
        <f t="shared" si="15"/>
        <v>36</v>
      </c>
      <c r="I76" t="str">
        <f t="shared" si="8"/>
        <v>VL Platz 12 Rang 2</v>
      </c>
      <c r="J76" t="s">
        <v>2</v>
      </c>
      <c r="K76">
        <f t="shared" si="9"/>
        <v>12</v>
      </c>
      <c r="L76">
        <f t="shared" si="10"/>
        <v>2</v>
      </c>
      <c r="M76">
        <f>VLOOKUP(H76+2,HVW!U$3:V$171,2,FALSE)</f>
        <v>38</v>
      </c>
      <c r="N76" t="str" cm="1">
        <f t="array" ref="N76">INDEX(HVW!E$3:E$950,M76)</f>
        <v>HSG Schönbuch</v>
      </c>
    </row>
    <row r="77" spans="2:14" x14ac:dyDescent="0.35">
      <c r="B77">
        <f t="shared" si="14"/>
        <v>37</v>
      </c>
      <c r="C77">
        <f t="shared" si="11"/>
        <v>38</v>
      </c>
      <c r="D77" t="str" cm="1">
        <f t="array" ref="D77">IF(C77=0,INDEX(D$10:D$97,B$36+1-B77),INDEX(I$41:I$1016,C77))</f>
        <v>LL Platz 1 Rang 2</v>
      </c>
      <c r="E77" t="str" cm="1">
        <f t="array" ref="E77">IF(C77=0,INDEX(E$10:E$113,B$36+1-B77),INDEX(N$41:N$1016,C77))</f>
        <v>TSV Bartenbach</v>
      </c>
      <c r="F77">
        <f t="shared" si="12"/>
        <v>36</v>
      </c>
      <c r="G77">
        <f t="shared" si="13"/>
        <v>-2</v>
      </c>
      <c r="H77">
        <f t="shared" si="15"/>
        <v>37</v>
      </c>
      <c r="I77" t="str">
        <f t="shared" si="8"/>
        <v>LL Platz 1 Rang 1</v>
      </c>
      <c r="J77" t="s">
        <v>3</v>
      </c>
      <c r="K77">
        <v>1</v>
      </c>
      <c r="L77">
        <v>1</v>
      </c>
      <c r="M77">
        <f>VLOOKUP(H77+2,HVW!U$3:V$171,2,FALSE)</f>
        <v>49</v>
      </c>
      <c r="N77" t="str" cm="1">
        <f t="array" ref="N77">INDEX(HVW!E$3:E$950,M77)</f>
        <v>HSG Rottweil</v>
      </c>
    </row>
    <row r="78" spans="2:14" x14ac:dyDescent="0.35">
      <c r="B78">
        <f t="shared" si="14"/>
        <v>38</v>
      </c>
      <c r="C78">
        <f t="shared" si="11"/>
        <v>39</v>
      </c>
      <c r="D78" t="str" cm="1">
        <f t="array" ref="D78">IF(C78=0,INDEX(D$10:D$97,B$36+1-B78),INDEX(I$41:I$1016,C78))</f>
        <v>LL Platz 1 Rang 3</v>
      </c>
      <c r="E78" t="str" cm="1">
        <f t="array" ref="E78">IF(C78=0,INDEX(E$10:E$113,B$36+1-B78),INDEX(N$41:N$1016,C78))</f>
        <v>HB Ludwigsburg</v>
      </c>
      <c r="F78">
        <f t="shared" si="12"/>
        <v>37</v>
      </c>
      <c r="G78">
        <f t="shared" si="13"/>
        <v>-2</v>
      </c>
      <c r="H78">
        <f t="shared" si="15"/>
        <v>38</v>
      </c>
      <c r="I78" t="str">
        <f t="shared" si="8"/>
        <v>LL Platz 1 Rang 2</v>
      </c>
      <c r="J78" t="s">
        <v>3</v>
      </c>
      <c r="K78">
        <v>1</v>
      </c>
      <c r="L78">
        <v>2</v>
      </c>
      <c r="M78">
        <f>VLOOKUP(H78+2,HVW!U$3:V$171,2,FALSE)</f>
        <v>59</v>
      </c>
      <c r="N78" t="str" cm="1">
        <f t="array" ref="N78">INDEX(HVW!E$3:E$950,M78)</f>
        <v>TSV Bartenbach</v>
      </c>
    </row>
    <row r="79" spans="2:14" x14ac:dyDescent="0.35">
      <c r="B79">
        <f t="shared" si="14"/>
        <v>39</v>
      </c>
      <c r="C79">
        <f t="shared" si="11"/>
        <v>40</v>
      </c>
      <c r="D79" t="str" cm="1">
        <f t="array" ref="D79">IF(C79=0,INDEX(D$10:D$97,B$36+1-B79),INDEX(I$41:I$1016,C79))</f>
        <v>LL Platz 1 Rang 4</v>
      </c>
      <c r="E79" t="str" cm="1">
        <f t="array" ref="E79">IF(C79=0,INDEX(E$10:E$113,B$36+1-B79),INDEX(N$41:N$1016,C79))</f>
        <v>TV Gerhausen 1900</v>
      </c>
      <c r="F79">
        <f t="shared" si="12"/>
        <v>38</v>
      </c>
      <c r="G79">
        <f t="shared" si="13"/>
        <v>-2</v>
      </c>
      <c r="H79">
        <f t="shared" si="15"/>
        <v>39</v>
      </c>
      <c r="I79" t="str">
        <f t="shared" si="8"/>
        <v>LL Platz 1 Rang 3</v>
      </c>
      <c r="J79" t="s">
        <v>3</v>
      </c>
      <c r="K79">
        <v>1</v>
      </c>
      <c r="L79">
        <v>3</v>
      </c>
      <c r="M79">
        <f>VLOOKUP(H79+2,HVW!U$3:V$171,2,FALSE)</f>
        <v>39</v>
      </c>
      <c r="N79" t="str" cm="1">
        <f t="array" ref="N79">INDEX(HVW!E$3:E$950,M79)</f>
        <v>HB Ludwigsburg</v>
      </c>
    </row>
    <row r="80" spans="2:14" x14ac:dyDescent="0.35">
      <c r="B80">
        <f t="shared" si="14"/>
        <v>40</v>
      </c>
      <c r="C80">
        <f t="shared" si="11"/>
        <v>41</v>
      </c>
      <c r="D80" t="str" cm="1">
        <f t="array" ref="D80">IF(C80=0,INDEX(D$10:D$97,B$36+1-B80),INDEX(I$41:I$1016,C80))</f>
        <v>LL Platz 2 Rang 1</v>
      </c>
      <c r="E80" t="str" cm="1">
        <f t="array" ref="E80">IF(C80=0,INDEX(E$10:E$113,B$36+1-B80),INDEX(N$41:N$1016,C80))</f>
        <v>TSV Betzingen</v>
      </c>
      <c r="F80">
        <f t="shared" si="12"/>
        <v>39</v>
      </c>
      <c r="G80">
        <f t="shared" si="13"/>
        <v>-2</v>
      </c>
      <c r="H80">
        <f t="shared" si="15"/>
        <v>40</v>
      </c>
      <c r="I80" t="str">
        <f t="shared" si="8"/>
        <v>LL Platz 1 Rang 4</v>
      </c>
      <c r="J80" t="s">
        <v>3</v>
      </c>
      <c r="K80">
        <v>1</v>
      </c>
      <c r="L80">
        <v>4</v>
      </c>
      <c r="M80">
        <f>VLOOKUP(H80+2,HVW!U$3:V$171,2,FALSE)</f>
        <v>69</v>
      </c>
      <c r="N80" t="str" cm="1">
        <f t="array" ref="N80">INDEX(HVW!E$3:E$950,M80)</f>
        <v>TV Gerhausen 1900</v>
      </c>
    </row>
    <row r="81" spans="2:14" x14ac:dyDescent="0.35">
      <c r="B81">
        <f t="shared" si="14"/>
        <v>41</v>
      </c>
      <c r="C81">
        <f t="shared" si="11"/>
        <v>42</v>
      </c>
      <c r="D81" t="str" cm="1">
        <f t="array" ref="D81">IF(C81=0,INDEX(D$10:D$97,B$36+1-B81),INDEX(I$41:I$1016,C81))</f>
        <v>LL Platz 2 Rang 2</v>
      </c>
      <c r="E81" t="str" cm="1">
        <f t="array" ref="E81">IF(C81=0,INDEX(E$10:E$113,B$36+1-B81),INDEX(N$41:N$1016,C81))</f>
        <v>HV Rot-Weiß Laupheim</v>
      </c>
      <c r="F81">
        <f t="shared" si="12"/>
        <v>40</v>
      </c>
      <c r="G81">
        <f t="shared" si="13"/>
        <v>-2</v>
      </c>
      <c r="H81" s="2">
        <f t="shared" si="15"/>
        <v>41</v>
      </c>
      <c r="I81" t="str">
        <f t="shared" si="8"/>
        <v>LL Platz 2 Rang 1</v>
      </c>
      <c r="J81" t="s">
        <v>3</v>
      </c>
      <c r="K81">
        <f>K77+1</f>
        <v>2</v>
      </c>
      <c r="L81">
        <f>L77</f>
        <v>1</v>
      </c>
      <c r="M81">
        <f>VLOOKUP(H81+2,HVW!U$3:V$171,2,FALSE)</f>
        <v>60</v>
      </c>
      <c r="N81" t="str" cm="1">
        <f t="array" ref="N81">INDEX(HVW!E$3:E$950,M81)</f>
        <v>TSV Betzingen</v>
      </c>
    </row>
    <row r="82" spans="2:14" x14ac:dyDescent="0.35">
      <c r="B82">
        <f t="shared" si="14"/>
        <v>42</v>
      </c>
      <c r="C82">
        <f t="shared" si="11"/>
        <v>43</v>
      </c>
      <c r="D82" t="str" cm="1">
        <f t="array" ref="D82">IF(C82=0,INDEX(D$10:D$97,B$36+1-B82),INDEX(I$41:I$1016,C82))</f>
        <v>LL Platz 2 Rang 3</v>
      </c>
      <c r="E82" t="str" cm="1">
        <f t="array" ref="E82">IF(C82=0,INDEX(E$10:E$113,B$36+1-B82),INDEX(N$41:N$1016,C82))</f>
        <v>SG H2Ku Herrenberg 2</v>
      </c>
      <c r="F82">
        <f t="shared" si="12"/>
        <v>41</v>
      </c>
      <c r="G82">
        <f t="shared" si="13"/>
        <v>-2</v>
      </c>
      <c r="H82" s="2">
        <f t="shared" si="15"/>
        <v>42</v>
      </c>
      <c r="I82" t="str">
        <f t="shared" si="8"/>
        <v>LL Platz 2 Rang 2</v>
      </c>
      <c r="J82" t="s">
        <v>3</v>
      </c>
      <c r="K82">
        <f t="shared" ref="K82:K116" si="16">K78+1</f>
        <v>2</v>
      </c>
      <c r="L82">
        <f t="shared" ref="L82:L116" si="17">L78</f>
        <v>2</v>
      </c>
      <c r="M82">
        <f>VLOOKUP(H82+2,HVW!U$3:V$171,2,FALSE)</f>
        <v>70</v>
      </c>
      <c r="N82" t="str" cm="1">
        <f t="array" ref="N82">INDEX(HVW!E$3:E$950,M82)</f>
        <v>HV Rot-Weiß Laupheim</v>
      </c>
    </row>
    <row r="83" spans="2:14" x14ac:dyDescent="0.35">
      <c r="B83">
        <f t="shared" si="14"/>
        <v>43</v>
      </c>
      <c r="C83">
        <f t="shared" si="11"/>
        <v>44</v>
      </c>
      <c r="D83" t="str" cm="1">
        <f t="array" ref="D83">IF(C83=0,INDEX(D$10:D$97,B$36+1-B83),INDEX(I$41:I$1016,C83))</f>
        <v>LL Platz 2 Rang 4</v>
      </c>
      <c r="E83" t="str" cm="1">
        <f t="array" ref="E83">IF(C83=0,INDEX(E$10:E$113,B$36+1-B83),INDEX(N$41:N$1016,C83))</f>
        <v>TV Spaichingen</v>
      </c>
      <c r="F83">
        <f t="shared" si="12"/>
        <v>42</v>
      </c>
      <c r="G83">
        <f t="shared" si="13"/>
        <v>-2</v>
      </c>
      <c r="H83" s="2">
        <f t="shared" si="15"/>
        <v>43</v>
      </c>
      <c r="I83" t="str">
        <f t="shared" si="8"/>
        <v>LL Platz 2 Rang 3</v>
      </c>
      <c r="J83" t="s">
        <v>3</v>
      </c>
      <c r="K83">
        <f t="shared" si="16"/>
        <v>2</v>
      </c>
      <c r="L83">
        <f t="shared" si="17"/>
        <v>3</v>
      </c>
      <c r="M83">
        <f>VLOOKUP(H83+2,HVW!U$3:V$171,2,FALSE)</f>
        <v>40</v>
      </c>
      <c r="N83" t="str" cm="1">
        <f t="array" ref="N83">INDEX(HVW!E$3:E$950,M83)</f>
        <v>SG H2Ku Herrenberg 2</v>
      </c>
    </row>
    <row r="84" spans="2:14" x14ac:dyDescent="0.35">
      <c r="B84">
        <f t="shared" si="14"/>
        <v>44</v>
      </c>
      <c r="C84">
        <f t="shared" si="11"/>
        <v>45</v>
      </c>
      <c r="D84" t="str" cm="1">
        <f t="array" ref="D84">IF(C84=0,INDEX(D$10:D$97,B$36+1-B84),INDEX(I$41:I$1016,C84))</f>
        <v>LL Platz 3 Rang 1</v>
      </c>
      <c r="E84" t="str" cm="1">
        <f t="array" ref="E84">IF(C84=0,INDEX(E$10:E$113,B$36+1-B84),INDEX(N$41:N$1016,C84))</f>
        <v>SG Herbrechtingen-Bolheim</v>
      </c>
      <c r="F84">
        <f t="shared" si="12"/>
        <v>43</v>
      </c>
      <c r="G84">
        <f t="shared" si="13"/>
        <v>-2</v>
      </c>
      <c r="H84" s="2">
        <f t="shared" si="15"/>
        <v>44</v>
      </c>
      <c r="I84" t="str">
        <f t="shared" si="8"/>
        <v>LL Platz 2 Rang 4</v>
      </c>
      <c r="J84" t="s">
        <v>3</v>
      </c>
      <c r="K84">
        <f t="shared" si="16"/>
        <v>2</v>
      </c>
      <c r="L84">
        <f t="shared" si="17"/>
        <v>4</v>
      </c>
      <c r="M84">
        <f>VLOOKUP(H84+2,HVW!U$3:V$171,2,FALSE)</f>
        <v>50</v>
      </c>
      <c r="N84" t="str" cm="1">
        <f t="array" ref="N84">INDEX(HVW!E$3:E$950,M84)</f>
        <v>TV Spaichingen</v>
      </c>
    </row>
    <row r="85" spans="2:14" x14ac:dyDescent="0.35">
      <c r="B85">
        <f t="shared" si="14"/>
        <v>45</v>
      </c>
      <c r="C85">
        <f t="shared" si="11"/>
        <v>46</v>
      </c>
      <c r="D85" t="str" cm="1">
        <f t="array" ref="D85">IF(C85=0,INDEX(D$10:D$97,B$36+1-B85),INDEX(I$41:I$1016,C85))</f>
        <v>LL Platz 3 Rang 2</v>
      </c>
      <c r="E85" t="str" cm="1">
        <f t="array" ref="E85">IF(C85=0,INDEX(E$10:E$113,B$36+1-B85),INDEX(N$41:N$1016,C85))</f>
        <v>HSG Ebersbach/Bünzwangen</v>
      </c>
      <c r="F85">
        <f t="shared" si="12"/>
        <v>44</v>
      </c>
      <c r="G85">
        <f t="shared" si="13"/>
        <v>-2</v>
      </c>
      <c r="H85">
        <f t="shared" si="15"/>
        <v>45</v>
      </c>
      <c r="I85" t="str">
        <f t="shared" si="8"/>
        <v>LL Platz 3 Rang 1</v>
      </c>
      <c r="J85" t="s">
        <v>3</v>
      </c>
      <c r="K85">
        <f t="shared" si="16"/>
        <v>3</v>
      </c>
      <c r="L85">
        <f t="shared" si="17"/>
        <v>1</v>
      </c>
      <c r="M85">
        <f>VLOOKUP(H85+2,HVW!U$3:V$171,2,FALSE)</f>
        <v>71</v>
      </c>
      <c r="N85" t="str" cm="1">
        <f t="array" ref="N85">INDEX(HVW!E$3:E$950,M85)</f>
        <v>SG Herbrechtingen-Bolheim</v>
      </c>
    </row>
    <row r="86" spans="2:14" x14ac:dyDescent="0.35">
      <c r="B86">
        <f t="shared" si="14"/>
        <v>46</v>
      </c>
      <c r="C86">
        <f t="shared" si="11"/>
        <v>47</v>
      </c>
      <c r="D86" t="str" cm="1">
        <f t="array" ref="D86">IF(C86=0,INDEX(D$10:D$97,B$36+1-B86),INDEX(I$41:I$1016,C86))</f>
        <v>LL Platz 3 Rang 3</v>
      </c>
      <c r="E86" t="str" cm="1">
        <f t="array" ref="E86">IF(C86=0,INDEX(E$10:E$113,B$36+1-B86),INDEX(N$41:N$1016,C86))</f>
        <v>TV Mundelsheim</v>
      </c>
      <c r="F86">
        <f t="shared" si="12"/>
        <v>45</v>
      </c>
      <c r="G86">
        <f t="shared" si="13"/>
        <v>-2</v>
      </c>
      <c r="H86">
        <f t="shared" si="15"/>
        <v>46</v>
      </c>
      <c r="I86" t="str">
        <f t="shared" si="8"/>
        <v>LL Platz 3 Rang 2</v>
      </c>
      <c r="J86" t="s">
        <v>3</v>
      </c>
      <c r="K86">
        <f t="shared" si="16"/>
        <v>3</v>
      </c>
      <c r="L86">
        <f t="shared" si="17"/>
        <v>2</v>
      </c>
      <c r="M86">
        <f>VLOOKUP(H86+2,HVW!U$3:V$171,2,FALSE)</f>
        <v>61</v>
      </c>
      <c r="N86" t="str" cm="1">
        <f t="array" ref="N86">INDEX(HVW!E$3:E$950,M86)</f>
        <v>HSG Ebersbach/Bünzwangen</v>
      </c>
    </row>
    <row r="87" spans="2:14" x14ac:dyDescent="0.35">
      <c r="B87">
        <f t="shared" si="14"/>
        <v>47</v>
      </c>
      <c r="C87">
        <f t="shared" si="11"/>
        <v>48</v>
      </c>
      <c r="D87" t="str" cm="1">
        <f t="array" ref="D87">IF(C87=0,INDEX(D$10:D$97,B$36+1-B87),INDEX(I$41:I$1016,C87))</f>
        <v>LL Platz 3 Rang 4</v>
      </c>
      <c r="E87" t="str" cm="1">
        <f t="array" ref="E87">IF(C87=0,INDEX(E$10:E$113,B$36+1-B87),INDEX(N$41:N$1016,C87))</f>
        <v>HSG Baar</v>
      </c>
      <c r="F87">
        <f t="shared" si="12"/>
        <v>46</v>
      </c>
      <c r="G87">
        <f t="shared" si="13"/>
        <v>-2</v>
      </c>
      <c r="H87">
        <f t="shared" si="15"/>
        <v>47</v>
      </c>
      <c r="I87" t="str">
        <f t="shared" si="8"/>
        <v>LL Platz 3 Rang 3</v>
      </c>
      <c r="J87" t="s">
        <v>3</v>
      </c>
      <c r="K87">
        <f t="shared" si="16"/>
        <v>3</v>
      </c>
      <c r="L87">
        <f t="shared" si="17"/>
        <v>3</v>
      </c>
      <c r="M87">
        <f>VLOOKUP(H87+2,HVW!U$3:V$171,2,FALSE)</f>
        <v>41</v>
      </c>
      <c r="N87" t="str" cm="1">
        <f t="array" ref="N87">INDEX(HVW!E$3:E$950,M87)</f>
        <v>TV Mundelsheim</v>
      </c>
    </row>
    <row r="88" spans="2:14" x14ac:dyDescent="0.35">
      <c r="B88">
        <f t="shared" si="14"/>
        <v>48</v>
      </c>
      <c r="C88">
        <f t="shared" si="11"/>
        <v>49</v>
      </c>
      <c r="D88" t="str" cm="1">
        <f t="array" ref="D88">IF(C88=0,INDEX(D$10:D$97,B$36+1-B88),INDEX(I$41:I$1016,C88))</f>
        <v>LL Platz 4 Rang 1</v>
      </c>
      <c r="E88" t="str" cm="1">
        <f t="array" ref="E88">IF(C88=0,INDEX(E$10:E$113,B$36+1-B88),INDEX(N$41:N$1016,C88))</f>
        <v>HSG Oberkochen/Königsbronn</v>
      </c>
      <c r="F88">
        <f t="shared" si="12"/>
        <v>47</v>
      </c>
      <c r="G88">
        <f t="shared" si="13"/>
        <v>-2</v>
      </c>
      <c r="H88">
        <f t="shared" si="15"/>
        <v>48</v>
      </c>
      <c r="I88" t="str">
        <f t="shared" si="8"/>
        <v>LL Platz 3 Rang 4</v>
      </c>
      <c r="J88" t="s">
        <v>3</v>
      </c>
      <c r="K88">
        <f t="shared" si="16"/>
        <v>3</v>
      </c>
      <c r="L88">
        <f t="shared" si="17"/>
        <v>4</v>
      </c>
      <c r="M88">
        <f>VLOOKUP(H88+2,HVW!U$3:V$171,2,FALSE)</f>
        <v>51</v>
      </c>
      <c r="N88" t="str" cm="1">
        <f t="array" ref="N88">INDEX(HVW!E$3:E$950,M88)</f>
        <v>HSG Baar</v>
      </c>
    </row>
    <row r="89" spans="2:14" x14ac:dyDescent="0.35">
      <c r="B89">
        <f t="shared" si="14"/>
        <v>49</v>
      </c>
      <c r="C89">
        <f t="shared" si="11"/>
        <v>50</v>
      </c>
      <c r="D89" t="str" cm="1">
        <f t="array" ref="D89">IF(C89=0,INDEX(D$10:D$97,B$36+1-B89),INDEX(I$41:I$1016,C89))</f>
        <v>LL Platz 4 Rang 2</v>
      </c>
      <c r="E89" t="str" cm="1">
        <f t="array" ref="E89">IF(C89=0,INDEX(E$10:E$113,B$36+1-B89),INDEX(N$41:N$1016,C89))</f>
        <v>TSV Köngen</v>
      </c>
      <c r="F89">
        <f t="shared" si="12"/>
        <v>48</v>
      </c>
      <c r="G89">
        <f t="shared" si="13"/>
        <v>-2</v>
      </c>
      <c r="H89">
        <f t="shared" si="15"/>
        <v>49</v>
      </c>
      <c r="I89" t="str">
        <f t="shared" si="8"/>
        <v>LL Platz 4 Rang 1</v>
      </c>
      <c r="J89" t="s">
        <v>3</v>
      </c>
      <c r="K89">
        <f t="shared" si="16"/>
        <v>4</v>
      </c>
      <c r="L89">
        <f t="shared" si="17"/>
        <v>1</v>
      </c>
      <c r="M89">
        <f>VLOOKUP(H89+2,HVW!U$3:V$171,2,FALSE)</f>
        <v>72</v>
      </c>
      <c r="N89" t="str" cm="1">
        <f t="array" ref="N89">INDEX(HVW!E$3:E$950,M89)</f>
        <v>HSG Oberkochen/Königsbronn</v>
      </c>
    </row>
    <row r="90" spans="2:14" x14ac:dyDescent="0.35">
      <c r="B90">
        <f t="shared" si="14"/>
        <v>50</v>
      </c>
      <c r="C90">
        <f t="shared" si="11"/>
        <v>51</v>
      </c>
      <c r="D90" t="str" cm="1">
        <f t="array" ref="D90">IF(C90=0,INDEX(D$10:D$97,B$36+1-B90),INDEX(I$41:I$1016,C90))</f>
        <v>LL Platz 4 Rang 3</v>
      </c>
      <c r="E90" t="str" cm="1">
        <f t="array" ref="E90">IF(C90=0,INDEX(E$10:E$113,B$36+1-B90),INDEX(N$41:N$1016,C90))</f>
        <v>HC Winnenden</v>
      </c>
      <c r="F90">
        <f t="shared" si="12"/>
        <v>49</v>
      </c>
      <c r="G90">
        <f t="shared" si="13"/>
        <v>-2</v>
      </c>
      <c r="H90">
        <f t="shared" si="15"/>
        <v>50</v>
      </c>
      <c r="I90" t="str">
        <f t="shared" si="8"/>
        <v>LL Platz 4 Rang 2</v>
      </c>
      <c r="J90" t="s">
        <v>3</v>
      </c>
      <c r="K90">
        <f t="shared" si="16"/>
        <v>4</v>
      </c>
      <c r="L90">
        <f t="shared" si="17"/>
        <v>2</v>
      </c>
      <c r="M90">
        <f>VLOOKUP(H90+2,HVW!U$3:V$171,2,FALSE)</f>
        <v>62</v>
      </c>
      <c r="N90" t="str" cm="1">
        <f t="array" ref="N90">INDEX(HVW!E$3:E$950,M90)</f>
        <v>TSV Köngen</v>
      </c>
    </row>
    <row r="91" spans="2:14" x14ac:dyDescent="0.35">
      <c r="B91">
        <f t="shared" si="14"/>
        <v>51</v>
      </c>
      <c r="C91">
        <f t="shared" si="11"/>
        <v>52</v>
      </c>
      <c r="D91" t="str" cm="1">
        <f t="array" ref="D91">IF(C91=0,INDEX(D$10:D$97,B$36+1-B91),INDEX(I$41:I$1016,C91))</f>
        <v>LL Platz 4 Rang 4</v>
      </c>
      <c r="E91" t="str" cm="1">
        <f t="array" ref="E91">IF(C91=0,INDEX(E$10:E$113,B$36+1-B91),INDEX(N$41:N$1016,C91))</f>
        <v>TSV 1866 Weinsberg 2</v>
      </c>
      <c r="F91">
        <f t="shared" si="12"/>
        <v>50</v>
      </c>
      <c r="G91">
        <f t="shared" si="13"/>
        <v>-2</v>
      </c>
      <c r="H91">
        <f t="shared" si="15"/>
        <v>51</v>
      </c>
      <c r="I91" t="str">
        <f t="shared" si="8"/>
        <v>LL Platz 4 Rang 3</v>
      </c>
      <c r="J91" t="s">
        <v>3</v>
      </c>
      <c r="K91">
        <f t="shared" si="16"/>
        <v>4</v>
      </c>
      <c r="L91">
        <f t="shared" si="17"/>
        <v>3</v>
      </c>
      <c r="M91">
        <f>VLOOKUP(H91+2,HVW!U$3:V$171,2,FALSE)</f>
        <v>52</v>
      </c>
      <c r="N91" t="str" cm="1">
        <f t="array" ref="N91">INDEX(HVW!E$3:E$950,M91)</f>
        <v>HC Winnenden</v>
      </c>
    </row>
    <row r="92" spans="2:14" x14ac:dyDescent="0.35">
      <c r="B92">
        <f t="shared" si="14"/>
        <v>52</v>
      </c>
      <c r="C92">
        <f t="shared" si="11"/>
        <v>53</v>
      </c>
      <c r="D92" t="str" cm="1">
        <f t="array" ref="D92">IF(C92=0,INDEX(D$10:D$97,B$36+1-B92),INDEX(I$41:I$1016,C92))</f>
        <v>LL Platz 5 Rang 1</v>
      </c>
      <c r="E92" t="str" cm="1">
        <f t="array" ref="E92">IF(C92=0,INDEX(E$10:E$113,B$36+1-B92),INDEX(N$41:N$1016,C92))</f>
        <v>TV Treffelhausen</v>
      </c>
      <c r="F92">
        <f t="shared" si="12"/>
        <v>51</v>
      </c>
      <c r="G92">
        <f t="shared" si="13"/>
        <v>-2</v>
      </c>
      <c r="H92">
        <f t="shared" si="15"/>
        <v>52</v>
      </c>
      <c r="I92" t="str">
        <f t="shared" si="8"/>
        <v>LL Platz 4 Rang 4</v>
      </c>
      <c r="J92" t="s">
        <v>3</v>
      </c>
      <c r="K92">
        <f t="shared" si="16"/>
        <v>4</v>
      </c>
      <c r="L92">
        <f t="shared" si="17"/>
        <v>4</v>
      </c>
      <c r="M92">
        <f>VLOOKUP(H92+2,HVW!U$3:V$171,2,FALSE)</f>
        <v>42</v>
      </c>
      <c r="N92" t="str" cm="1">
        <f t="array" ref="N92">INDEX(HVW!E$3:E$950,M92)</f>
        <v>TSV 1866 Weinsberg 2</v>
      </c>
    </row>
    <row r="93" spans="2:14" x14ac:dyDescent="0.35">
      <c r="B93">
        <f t="shared" si="14"/>
        <v>53</v>
      </c>
      <c r="C93">
        <f t="shared" si="11"/>
        <v>35</v>
      </c>
      <c r="D93" t="str" cm="1">
        <f t="array" ref="D93">IF(C93=0,INDEX(D$10:D$97,B$36+1-B93),INDEX(I$41:I$1016,C93))</f>
        <v>VL Platz 12 Rang 1</v>
      </c>
      <c r="E93" t="str" cm="1">
        <f t="array" ref="E93">IF(C93=0,INDEX(E$10:E$113,B$36+1-B93),INDEX(N$41:N$1016,C93))</f>
        <v>TSV Asperg</v>
      </c>
      <c r="F93">
        <f t="shared" si="12"/>
        <v>52</v>
      </c>
      <c r="G93">
        <f t="shared" si="13"/>
        <v>-2</v>
      </c>
      <c r="H93">
        <f t="shared" si="15"/>
        <v>53</v>
      </c>
      <c r="I93" t="str">
        <f t="shared" si="8"/>
        <v>LL Platz 5 Rang 1</v>
      </c>
      <c r="J93" t="s">
        <v>3</v>
      </c>
      <c r="K93">
        <f t="shared" si="16"/>
        <v>5</v>
      </c>
      <c r="L93">
        <f t="shared" si="17"/>
        <v>1</v>
      </c>
      <c r="M93">
        <f>VLOOKUP(H93+2,HVW!U$3:V$171,2,FALSE)</f>
        <v>73</v>
      </c>
      <c r="N93" t="str" cm="1">
        <f t="array" ref="N93">INDEX(HVW!E$3:E$950,M93)</f>
        <v>TV Treffelhausen</v>
      </c>
    </row>
    <row r="94" spans="2:14" x14ac:dyDescent="0.35">
      <c r="B94">
        <f t="shared" si="14"/>
        <v>54</v>
      </c>
      <c r="C94">
        <f t="shared" si="11"/>
        <v>36</v>
      </c>
      <c r="D94" t="str" cm="1">
        <f t="array" ref="D94">IF(C94=0,INDEX(D$10:D$97,B$36+1-B94),INDEX(I$41:I$1016,C94))</f>
        <v>VL Platz 12 Rang 2</v>
      </c>
      <c r="E94" t="str" cm="1">
        <f t="array" ref="E94">IF(C94=0,INDEX(E$10:E$113,B$36+1-B94),INDEX(N$41:N$1016,C94))</f>
        <v>HSG Schönbuch</v>
      </c>
      <c r="F94">
        <f t="shared" si="12"/>
        <v>55</v>
      </c>
      <c r="G94">
        <f t="shared" si="13"/>
        <v>0</v>
      </c>
      <c r="H94">
        <f t="shared" si="15"/>
        <v>54</v>
      </c>
      <c r="I94" t="str">
        <f t="shared" si="8"/>
        <v>LL Platz 5 Rang 2</v>
      </c>
      <c r="J94" t="s">
        <v>3</v>
      </c>
      <c r="K94">
        <f t="shared" si="16"/>
        <v>5</v>
      </c>
      <c r="L94">
        <f t="shared" si="17"/>
        <v>2</v>
      </c>
      <c r="M94">
        <f>VLOOKUP(H94+2,HVW!U$3:V$171,2,FALSE)</f>
        <v>53</v>
      </c>
      <c r="N94" t="str" cm="1">
        <f t="array" ref="N94">INDEX(HVW!E$3:E$950,M94)</f>
        <v>TV Aixheim</v>
      </c>
    </row>
    <row r="95" spans="2:14" x14ac:dyDescent="0.35">
      <c r="B95">
        <f t="shared" si="14"/>
        <v>55</v>
      </c>
      <c r="C95">
        <f t="shared" si="11"/>
        <v>54</v>
      </c>
      <c r="D95" t="str" cm="1">
        <f t="array" ref="D95">IF(C95=0,INDEX(D$10:D$97,B$36+1-B95),INDEX(I$41:I$1016,C95))</f>
        <v>LL Platz 5 Rang 2</v>
      </c>
      <c r="E95" t="str" cm="1">
        <f t="array" ref="E95">IF(C95=0,INDEX(E$10:E$113,B$36+1-B95),INDEX(N$41:N$1016,C95))</f>
        <v>TV Aixheim</v>
      </c>
      <c r="F95">
        <f t="shared" si="12"/>
        <v>56</v>
      </c>
      <c r="G95">
        <f t="shared" si="13"/>
        <v>0</v>
      </c>
      <c r="H95">
        <f t="shared" si="15"/>
        <v>55</v>
      </c>
      <c r="I95" t="str">
        <f t="shared" si="8"/>
        <v>LL Platz 5 Rang 3</v>
      </c>
      <c r="J95" t="s">
        <v>3</v>
      </c>
      <c r="K95">
        <f t="shared" si="16"/>
        <v>5</v>
      </c>
      <c r="L95">
        <f t="shared" si="17"/>
        <v>3</v>
      </c>
      <c r="M95">
        <f>VLOOKUP(H95+2,HVW!U$3:V$171,2,FALSE)</f>
        <v>63</v>
      </c>
      <c r="N95" t="str" cm="1">
        <f t="array" ref="N95">INDEX(HVW!E$3:E$950,M95)</f>
        <v>TSV Zizishausen</v>
      </c>
    </row>
    <row r="96" spans="2:14" x14ac:dyDescent="0.35">
      <c r="B96">
        <f t="shared" si="14"/>
        <v>56</v>
      </c>
      <c r="C96">
        <f t="shared" si="11"/>
        <v>55</v>
      </c>
      <c r="D96" t="str" cm="1">
        <f t="array" ref="D96">IF(C96=0,INDEX(D$10:D$97,B$36+1-B96),INDEX(I$41:I$1016,C96))</f>
        <v>LL Platz 5 Rang 3</v>
      </c>
      <c r="E96" t="str" cm="1">
        <f t="array" ref="E96">IF(C96=0,INDEX(E$10:E$113,B$36+1-B96),INDEX(N$41:N$1016,C96))</f>
        <v>TSV Zizishausen</v>
      </c>
      <c r="F96">
        <f t="shared" si="12"/>
        <v>57</v>
      </c>
      <c r="G96">
        <f t="shared" si="13"/>
        <v>0</v>
      </c>
      <c r="H96">
        <f t="shared" si="15"/>
        <v>56</v>
      </c>
      <c r="I96" t="str">
        <f t="shared" si="8"/>
        <v>LL Platz 5 Rang 4</v>
      </c>
      <c r="J96" t="s">
        <v>3</v>
      </c>
      <c r="K96">
        <f t="shared" si="16"/>
        <v>5</v>
      </c>
      <c r="L96">
        <f t="shared" si="17"/>
        <v>4</v>
      </c>
      <c r="M96">
        <f>VLOOKUP(H96+2,HVW!U$3:V$171,2,FALSE)</f>
        <v>43</v>
      </c>
      <c r="N96" t="str" cm="1">
        <f t="array" ref="N96">INDEX(HVW!E$3:E$950,M96)</f>
        <v>HC Oppenweiler/Backnang 2</v>
      </c>
    </row>
    <row r="97" spans="2:14" x14ac:dyDescent="0.35">
      <c r="B97">
        <f t="shared" si="14"/>
        <v>57</v>
      </c>
      <c r="C97">
        <f t="shared" si="11"/>
        <v>56</v>
      </c>
      <c r="D97" t="str" cm="1">
        <f t="array" ref="D97">IF(C97=0,INDEX(D$10:D$97,B$36+1-B97),INDEX(I$41:I$1016,C97))</f>
        <v>LL Platz 5 Rang 4</v>
      </c>
      <c r="E97" t="str" cm="1">
        <f t="array" ref="E97">IF(C97=0,INDEX(E$10:E$113,B$36+1-B97),INDEX(N$41:N$1016,C97))</f>
        <v>HC Oppenweiler/Backnang 2</v>
      </c>
      <c r="F97">
        <f t="shared" si="12"/>
        <v>58</v>
      </c>
      <c r="G97">
        <f t="shared" si="13"/>
        <v>0</v>
      </c>
      <c r="H97">
        <f t="shared" si="15"/>
        <v>57</v>
      </c>
      <c r="I97" t="str">
        <f t="shared" si="8"/>
        <v>LL Platz 6 Rang 1</v>
      </c>
      <c r="J97" t="s">
        <v>3</v>
      </c>
      <c r="K97">
        <f t="shared" si="16"/>
        <v>6</v>
      </c>
      <c r="L97">
        <f t="shared" si="17"/>
        <v>1</v>
      </c>
      <c r="M97">
        <f>VLOOKUP(H97+2,HVW!U$3:V$171,2,FALSE)</f>
        <v>74</v>
      </c>
      <c r="N97" t="str" cm="1">
        <f t="array" ref="N97">INDEX(HVW!E$3:E$950,M97)</f>
        <v>SG Lauterstein 2</v>
      </c>
    </row>
    <row r="98" spans="2:14" x14ac:dyDescent="0.35">
      <c r="B98">
        <f t="shared" si="14"/>
        <v>58</v>
      </c>
      <c r="C98">
        <f t="shared" si="11"/>
        <v>57</v>
      </c>
      <c r="D98" t="str" cm="1">
        <f t="array" ref="D98">IF(C98=0,INDEX(D$10:D$97,B$36+1-B98),INDEX(I$41:I$1016,C98))</f>
        <v>LL Platz 6 Rang 1</v>
      </c>
      <c r="E98" t="str" cm="1">
        <f t="array" ref="E98">IF(C98=0,INDEX(E$10:E$113,B$36+1-B98),INDEX(N$41:N$1016,C98))</f>
        <v>SG Lauterstein 2</v>
      </c>
      <c r="F98">
        <f t="shared" si="12"/>
        <v>59</v>
      </c>
      <c r="G98">
        <f t="shared" si="13"/>
        <v>0</v>
      </c>
      <c r="H98">
        <f t="shared" si="15"/>
        <v>58</v>
      </c>
      <c r="I98" t="str">
        <f t="shared" si="8"/>
        <v>LL Platz 6 Rang 2</v>
      </c>
      <c r="J98" t="s">
        <v>3</v>
      </c>
      <c r="K98">
        <f t="shared" si="16"/>
        <v>6</v>
      </c>
      <c r="L98">
        <f t="shared" si="17"/>
        <v>2</v>
      </c>
      <c r="M98">
        <f>VLOOKUP(H98+2,HVW!U$3:V$171,2,FALSE)</f>
        <v>54</v>
      </c>
      <c r="N98" t="str" cm="1">
        <f t="array" ref="N98">INDEX(HVW!E$3:E$950,M98)</f>
        <v>TV Bittenfeld 1898 3</v>
      </c>
    </row>
    <row r="99" spans="2:14" x14ac:dyDescent="0.35">
      <c r="B99">
        <f t="shared" si="14"/>
        <v>59</v>
      </c>
      <c r="C99">
        <f t="shared" si="11"/>
        <v>58</v>
      </c>
      <c r="D99" t="str" cm="1">
        <f t="array" ref="D99">IF(C99=0,INDEX(D$10:D$97,B$36+1-B99),INDEX(I$41:I$1016,C99))</f>
        <v>LL Platz 6 Rang 2</v>
      </c>
      <c r="E99" t="str" cm="1">
        <f t="array" ref="E99">IF(C99=0,INDEX(E$10:E$113,B$36+1-B99),INDEX(N$41:N$1016,C99))</f>
        <v>TV Bittenfeld 1898 3</v>
      </c>
      <c r="F99">
        <f t="shared" si="12"/>
        <v>60</v>
      </c>
      <c r="G99">
        <f t="shared" si="13"/>
        <v>0</v>
      </c>
      <c r="H99">
        <f t="shared" si="15"/>
        <v>59</v>
      </c>
      <c r="I99" t="str">
        <f t="shared" si="8"/>
        <v>LL Platz 6 Rang 3</v>
      </c>
      <c r="J99" t="s">
        <v>3</v>
      </c>
      <c r="K99">
        <f t="shared" si="16"/>
        <v>6</v>
      </c>
      <c r="L99">
        <f t="shared" si="17"/>
        <v>3</v>
      </c>
      <c r="M99">
        <f>VLOOKUP(H99+2,HVW!U$3:V$171,2,FALSE)</f>
        <v>44</v>
      </c>
      <c r="N99" t="str" cm="1">
        <f t="array" ref="N99">INDEX(HVW!E$3:E$950,M99)</f>
        <v>SV Salamander Kornwestheim 1894 2</v>
      </c>
    </row>
    <row r="100" spans="2:14" x14ac:dyDescent="0.35">
      <c r="B100">
        <f t="shared" si="14"/>
        <v>60</v>
      </c>
      <c r="C100">
        <f t="shared" si="11"/>
        <v>59</v>
      </c>
      <c r="D100" t="str" cm="1">
        <f t="array" ref="D100">IF(C100=0,INDEX(D$10:D$97,B$36+1-B100),INDEX(I$41:I$1016,C100))</f>
        <v>LL Platz 6 Rang 3</v>
      </c>
      <c r="E100" t="str" cm="1">
        <f t="array" ref="E100">IF(C100=0,INDEX(E$10:E$113,B$36+1-B100),INDEX(N$41:N$1016,C100))</f>
        <v>SV Salamander Kornwestheim 1894 2</v>
      </c>
      <c r="F100">
        <f t="shared" si="12"/>
        <v>61</v>
      </c>
      <c r="G100">
        <f t="shared" si="13"/>
        <v>0</v>
      </c>
      <c r="H100">
        <f t="shared" si="15"/>
        <v>60</v>
      </c>
      <c r="I100" t="str">
        <f t="shared" si="8"/>
        <v>LL Platz 6 Rang 4</v>
      </c>
      <c r="J100" t="s">
        <v>3</v>
      </c>
      <c r="K100">
        <f t="shared" si="16"/>
        <v>6</v>
      </c>
      <c r="L100">
        <f t="shared" si="17"/>
        <v>4</v>
      </c>
      <c r="M100">
        <f>VLOOKUP(H100+2,HVW!U$3:V$171,2,FALSE)</f>
        <v>64</v>
      </c>
      <c r="N100" t="str" cm="1">
        <f t="array" ref="N100">INDEX(HVW!E$3:E$950,M100)</f>
        <v>HSG Ermstal</v>
      </c>
    </row>
    <row r="101" spans="2:14" x14ac:dyDescent="0.35">
      <c r="B101">
        <f t="shared" si="14"/>
        <v>61</v>
      </c>
      <c r="C101">
        <f t="shared" si="11"/>
        <v>60</v>
      </c>
      <c r="D101" t="str" cm="1">
        <f t="array" ref="D101">IF(C101=0,INDEX(D$10:D$97,B$36+1-B101),INDEX(I$41:I$1016,C101))</f>
        <v>LL Platz 6 Rang 4</v>
      </c>
      <c r="E101" t="str" cm="1">
        <f t="array" ref="E101">IF(C101=0,INDEX(E$10:E$113,B$36+1-B101),INDEX(N$41:N$1016,C101))</f>
        <v>HSG Ermstal</v>
      </c>
      <c r="F101">
        <f t="shared" si="12"/>
        <v>62</v>
      </c>
      <c r="G101">
        <f t="shared" si="13"/>
        <v>0</v>
      </c>
      <c r="H101">
        <f t="shared" si="15"/>
        <v>61</v>
      </c>
      <c r="I101" t="str">
        <f t="shared" si="8"/>
        <v>LL Platz 7 Rang 1</v>
      </c>
      <c r="J101" t="s">
        <v>3</v>
      </c>
      <c r="K101">
        <f t="shared" si="16"/>
        <v>7</v>
      </c>
      <c r="L101">
        <f t="shared" si="17"/>
        <v>1</v>
      </c>
      <c r="M101">
        <f>VLOOKUP(H101+2,HVW!U$3:V$171,2,FALSE)</f>
        <v>55</v>
      </c>
      <c r="N101" t="str" cm="1">
        <f t="array" ref="N101">INDEX(HVW!E$3:E$950,M101)</f>
        <v>HSG Fridingen/Mühlheim</v>
      </c>
    </row>
    <row r="102" spans="2:14" x14ac:dyDescent="0.35">
      <c r="B102">
        <f t="shared" si="14"/>
        <v>62</v>
      </c>
      <c r="C102">
        <f t="shared" si="11"/>
        <v>61</v>
      </c>
      <c r="D102" t="str" cm="1">
        <f t="array" ref="D102">IF(C102=0,INDEX(D$10:D$97,B$36+1-B102),INDEX(I$41:I$1016,C102))</f>
        <v>LL Platz 7 Rang 1</v>
      </c>
      <c r="E102" t="str" cm="1">
        <f t="array" ref="E102">IF(C102=0,INDEX(E$10:E$113,B$36+1-B102),INDEX(N$41:N$1016,C102))</f>
        <v>HSG Fridingen/Mühlheim</v>
      </c>
      <c r="F102">
        <f t="shared" si="12"/>
        <v>63</v>
      </c>
      <c r="G102">
        <f t="shared" si="13"/>
        <v>0</v>
      </c>
      <c r="H102">
        <f t="shared" si="15"/>
        <v>62</v>
      </c>
      <c r="I102" t="str">
        <f t="shared" si="8"/>
        <v>LL Platz 7 Rang 2</v>
      </c>
      <c r="J102" t="s">
        <v>3</v>
      </c>
      <c r="K102">
        <f t="shared" si="16"/>
        <v>7</v>
      </c>
      <c r="L102">
        <f t="shared" si="17"/>
        <v>2</v>
      </c>
      <c r="M102">
        <f>VLOOKUP(H102+2,HVW!U$3:V$171,2,FALSE)</f>
        <v>45</v>
      </c>
      <c r="N102" t="str" cm="1">
        <f t="array" ref="N102">INDEX(HVW!E$3:E$950,M102)</f>
        <v>SG BBM Bietigheim 3</v>
      </c>
    </row>
    <row r="103" spans="2:14" x14ac:dyDescent="0.35">
      <c r="B103">
        <f t="shared" si="14"/>
        <v>63</v>
      </c>
      <c r="C103">
        <f t="shared" si="11"/>
        <v>62</v>
      </c>
      <c r="D103" t="str" cm="1">
        <f t="array" ref="D103">IF(C103=0,INDEX(D$10:D$97,B$36+1-B103),INDEX(I$41:I$1016,C103))</f>
        <v>LL Platz 7 Rang 2</v>
      </c>
      <c r="E103" t="str" cm="1">
        <f t="array" ref="E103">IF(C103=0,INDEX(E$10:E$113,B$36+1-B103),INDEX(N$41:N$1016,C103))</f>
        <v>SG BBM Bietigheim 3</v>
      </c>
      <c r="F103">
        <f t="shared" si="12"/>
        <v>64</v>
      </c>
      <c r="G103">
        <f t="shared" si="13"/>
        <v>0</v>
      </c>
      <c r="H103">
        <f t="shared" si="15"/>
        <v>63</v>
      </c>
      <c r="I103" t="str">
        <f t="shared" si="8"/>
        <v>LL Platz 7 Rang 3</v>
      </c>
      <c r="J103" t="s">
        <v>3</v>
      </c>
      <c r="K103">
        <f t="shared" si="16"/>
        <v>7</v>
      </c>
      <c r="L103">
        <f t="shared" si="17"/>
        <v>3</v>
      </c>
      <c r="M103">
        <f>VLOOKUP(H103+2,HVW!U$3:V$171,2,FALSE)</f>
        <v>75</v>
      </c>
      <c r="N103" t="str" cm="1">
        <f t="array" ref="N103">INDEX(HVW!E$3:E$950,M103)</f>
        <v>TG Biberach</v>
      </c>
    </row>
    <row r="104" spans="2:14" x14ac:dyDescent="0.35">
      <c r="B104">
        <f t="shared" si="14"/>
        <v>64</v>
      </c>
      <c r="C104">
        <f t="shared" si="11"/>
        <v>63</v>
      </c>
      <c r="D104" t="str" cm="1">
        <f t="array" ref="D104">IF(C104=0,INDEX(D$10:D$97,B$36+1-B104),INDEX(I$41:I$1016,C104))</f>
        <v>LL Platz 7 Rang 3</v>
      </c>
      <c r="E104" t="str" cm="1">
        <f t="array" ref="E104">IF(C104=0,INDEX(E$10:E$113,B$36+1-B104),INDEX(N$41:N$1016,C104))</f>
        <v>TG Biberach</v>
      </c>
      <c r="F104">
        <f t="shared" si="12"/>
        <v>65</v>
      </c>
      <c r="G104">
        <f t="shared" si="13"/>
        <v>0</v>
      </c>
      <c r="H104">
        <f t="shared" si="15"/>
        <v>64</v>
      </c>
      <c r="I104" t="str">
        <f t="shared" si="8"/>
        <v>LL Platz 7 Rang 4</v>
      </c>
      <c r="J104" t="s">
        <v>3</v>
      </c>
      <c r="K104">
        <f t="shared" si="16"/>
        <v>7</v>
      </c>
      <c r="L104">
        <f t="shared" si="17"/>
        <v>4</v>
      </c>
      <c r="M104">
        <f>VLOOKUP(H104+2,HVW!U$3:V$171,2,FALSE)</f>
        <v>65</v>
      </c>
      <c r="N104" t="str" cm="1">
        <f t="array" ref="N104">INDEX(HVW!E$3:E$950,M104)</f>
        <v>TSV Heiningen 1892 2</v>
      </c>
    </row>
    <row r="105" spans="2:14" x14ac:dyDescent="0.35">
      <c r="B105">
        <f t="shared" si="14"/>
        <v>65</v>
      </c>
      <c r="C105">
        <f t="shared" ref="C105:C136" si="18">IF(B105&lt;=B$36,0,VLOOKUP(B105,$F$41:$H$168,3,FALSE))</f>
        <v>64</v>
      </c>
      <c r="D105" t="str" cm="1">
        <f t="array" ref="D105">IF(C105=0,INDEX(D$10:D$97,B$36+1-B105),INDEX(I$41:I$1016,C105))</f>
        <v>LL Platz 7 Rang 4</v>
      </c>
      <c r="E105" t="str" cm="1">
        <f t="array" ref="E105">IF(C105=0,INDEX(E$10:E$113,B$36+1-B105),INDEX(N$41:N$1016,C105))</f>
        <v>TSV Heiningen 1892 2</v>
      </c>
      <c r="F105">
        <f t="shared" ref="F105:F136" si="19">H105+G105+B$36</f>
        <v>66</v>
      </c>
      <c r="G105">
        <f t="shared" ref="G105:G136" si="20">VLOOKUP(H105,I$28:J$36,2,TRUE)</f>
        <v>0</v>
      </c>
      <c r="H105">
        <f t="shared" si="15"/>
        <v>65</v>
      </c>
      <c r="I105" t="str">
        <f t="shared" si="8"/>
        <v>LL Platz 8 Rang 1</v>
      </c>
      <c r="J105" t="s">
        <v>3</v>
      </c>
      <c r="K105">
        <f t="shared" si="16"/>
        <v>8</v>
      </c>
      <c r="L105">
        <f t="shared" si="17"/>
        <v>1</v>
      </c>
      <c r="M105">
        <f>VLOOKUP(H105+2,HVW!U$3:V$171,2,FALSE)</f>
        <v>46</v>
      </c>
      <c r="N105" t="str" cm="1">
        <f t="array" ref="N105">INDEX(HVW!E$3:E$950,M105)</f>
        <v>SG Degmarn-Oedheim</v>
      </c>
    </row>
    <row r="106" spans="2:14" x14ac:dyDescent="0.35">
      <c r="B106">
        <f t="shared" ref="B106:B137" si="21">1+B105</f>
        <v>66</v>
      </c>
      <c r="C106">
        <f t="shared" si="18"/>
        <v>65</v>
      </c>
      <c r="D106" t="str" cm="1">
        <f t="array" ref="D106">IF(C106=0,INDEX(D$10:D$97,B$36+1-B106),INDEX(I$41:I$1016,C106))</f>
        <v>LL Platz 8 Rang 1</v>
      </c>
      <c r="E106" t="str" cm="1">
        <f t="array" ref="E106">IF(C106=0,INDEX(E$10:E$113,B$36+1-B106),INDEX(N$41:N$1016,C106))</f>
        <v>SG Degmarn-Oedheim</v>
      </c>
      <c r="F106">
        <f t="shared" si="19"/>
        <v>67</v>
      </c>
      <c r="G106">
        <f t="shared" si="20"/>
        <v>0</v>
      </c>
      <c r="H106">
        <f t="shared" ref="H106:H137" si="22">1+H105</f>
        <v>66</v>
      </c>
      <c r="I106" t="str">
        <f t="shared" si="8"/>
        <v>LL Platz 8 Rang 2</v>
      </c>
      <c r="J106" t="s">
        <v>3</v>
      </c>
      <c r="K106">
        <f t="shared" si="16"/>
        <v>8</v>
      </c>
      <c r="L106">
        <f t="shared" si="17"/>
        <v>2</v>
      </c>
      <c r="M106">
        <f>VLOOKUP(H106+2,HVW!U$3:V$171,2,FALSE)</f>
        <v>56</v>
      </c>
      <c r="N106" t="str" cm="1">
        <f t="array" ref="N106">INDEX(HVW!E$3:E$950,M106)</f>
        <v>SG Weinstadt 2</v>
      </c>
    </row>
    <row r="107" spans="2:14" x14ac:dyDescent="0.35">
      <c r="B107">
        <f t="shared" si="21"/>
        <v>67</v>
      </c>
      <c r="C107">
        <f t="shared" si="18"/>
        <v>66</v>
      </c>
      <c r="D107" t="str" cm="1">
        <f t="array" ref="D107">IF(C107=0,INDEX(D$10:D$97,B$36+1-B107),INDEX(I$41:I$1016,C107))</f>
        <v>LL Platz 8 Rang 2</v>
      </c>
      <c r="E107" t="str" cm="1">
        <f t="array" ref="E107">IF(C107=0,INDEX(E$10:E$113,B$36+1-B107),INDEX(N$41:N$1016,C107))</f>
        <v>SG Weinstadt 2</v>
      </c>
      <c r="F107">
        <f t="shared" si="19"/>
        <v>68</v>
      </c>
      <c r="G107">
        <f t="shared" si="20"/>
        <v>0</v>
      </c>
      <c r="H107">
        <f t="shared" si="22"/>
        <v>67</v>
      </c>
      <c r="I107" t="str">
        <f t="shared" si="8"/>
        <v>LL Platz 8 Rang 3</v>
      </c>
      <c r="J107" t="s">
        <v>3</v>
      </c>
      <c r="K107">
        <f t="shared" si="16"/>
        <v>8</v>
      </c>
      <c r="L107">
        <f t="shared" si="17"/>
        <v>3</v>
      </c>
      <c r="M107">
        <f>VLOOKUP(H107+2,HVW!U$3:V$171,2,FALSE)</f>
        <v>76</v>
      </c>
      <c r="N107" t="str" cm="1">
        <f t="array" ref="N107">INDEX(HVW!E$3:E$950,M107)</f>
        <v>SC Vöhringen</v>
      </c>
    </row>
    <row r="108" spans="2:14" x14ac:dyDescent="0.35">
      <c r="B108">
        <f t="shared" si="21"/>
        <v>68</v>
      </c>
      <c r="C108">
        <f t="shared" si="18"/>
        <v>67</v>
      </c>
      <c r="D108" t="str" cm="1">
        <f t="array" ref="D108">IF(C108=0,INDEX(D$10:D$97,B$36+1-B108),INDEX(I$41:I$1016,C108))</f>
        <v>LL Platz 8 Rang 3</v>
      </c>
      <c r="E108" t="str" cm="1">
        <f t="array" ref="E108">IF(C108=0,INDEX(E$10:E$113,B$36+1-B108),INDEX(N$41:N$1016,C108))</f>
        <v>SC Vöhringen</v>
      </c>
      <c r="F108">
        <f t="shared" si="19"/>
        <v>69</v>
      </c>
      <c r="G108">
        <f t="shared" si="20"/>
        <v>0</v>
      </c>
      <c r="H108">
        <f t="shared" si="22"/>
        <v>68</v>
      </c>
      <c r="I108" t="str">
        <f t="shared" si="8"/>
        <v>LL Platz 8 Rang 4</v>
      </c>
      <c r="J108" t="s">
        <v>3</v>
      </c>
      <c r="K108">
        <f t="shared" si="16"/>
        <v>8</v>
      </c>
      <c r="L108">
        <f t="shared" si="17"/>
        <v>4</v>
      </c>
      <c r="M108">
        <f>VLOOKUP(H108+2,HVW!U$3:V$171,2,FALSE)</f>
        <v>66</v>
      </c>
      <c r="N108" t="str" cm="1">
        <f t="array" ref="N108">INDEX(HVW!E$3:E$950,M108)</f>
        <v>EK Bernhausen</v>
      </c>
    </row>
    <row r="109" spans="2:14" x14ac:dyDescent="0.35">
      <c r="B109">
        <f t="shared" si="21"/>
        <v>69</v>
      </c>
      <c r="C109">
        <f t="shared" si="18"/>
        <v>68</v>
      </c>
      <c r="D109" t="str" cm="1">
        <f t="array" ref="D109">IF(C109=0,INDEX(D$10:D$97,B$36+1-B109),INDEX(I$41:I$1016,C109))</f>
        <v>LL Platz 8 Rang 4</v>
      </c>
      <c r="E109" t="str" cm="1">
        <f t="array" ref="E109">IF(C109=0,INDEX(E$10:E$113,B$36+1-B109),INDEX(N$41:N$1016,C109))</f>
        <v>EK Bernhausen</v>
      </c>
      <c r="F109">
        <f t="shared" si="19"/>
        <v>169</v>
      </c>
      <c r="G109">
        <f t="shared" si="20"/>
        <v>99</v>
      </c>
      <c r="H109">
        <f t="shared" si="22"/>
        <v>69</v>
      </c>
      <c r="I109" t="str">
        <f t="shared" si="8"/>
        <v>LL Platz 9 Rang 1</v>
      </c>
      <c r="J109" t="s">
        <v>3</v>
      </c>
      <c r="K109">
        <f t="shared" si="16"/>
        <v>9</v>
      </c>
      <c r="L109">
        <f t="shared" si="17"/>
        <v>1</v>
      </c>
      <c r="M109">
        <f>VLOOKUP(H109+2,HVW!U$3:V$171,2,FALSE)</f>
        <v>47</v>
      </c>
      <c r="N109" t="str" cm="1">
        <f t="array" ref="N109">INDEX(HVW!E$3:E$950,M109)</f>
        <v>TSV Willsbach</v>
      </c>
    </row>
    <row r="110" spans="2:14" x14ac:dyDescent="0.35">
      <c r="B110">
        <f t="shared" si="21"/>
        <v>70</v>
      </c>
      <c r="C110">
        <f t="shared" si="18"/>
        <v>77</v>
      </c>
      <c r="D110" t="str" cm="1">
        <f t="array" ref="D110">IF(C110=0,INDEX(D$10:D$97,B$36+1-B110),INDEX(I$41:I$1016,C110))</f>
        <v>BOL Platz 1 Rang 1</v>
      </c>
      <c r="E110" t="str" cm="1">
        <f t="array" ref="E110">IF(C110=0,INDEX(E$10:E$113,B$36+1-B110),INDEX(N$41:N$1016,C110))</f>
        <v>TSV Neuhausen/F. 1898 2</v>
      </c>
      <c r="F110">
        <f t="shared" si="19"/>
        <v>170</v>
      </c>
      <c r="G110">
        <f t="shared" si="20"/>
        <v>99</v>
      </c>
      <c r="H110">
        <f t="shared" si="22"/>
        <v>70</v>
      </c>
      <c r="I110" t="str">
        <f t="shared" si="8"/>
        <v>LL Platz 9 Rang 2</v>
      </c>
      <c r="J110" t="s">
        <v>3</v>
      </c>
      <c r="K110">
        <f t="shared" si="16"/>
        <v>9</v>
      </c>
      <c r="L110">
        <f t="shared" si="17"/>
        <v>2</v>
      </c>
      <c r="M110">
        <f>VLOOKUP(H110+2,HVW!U$3:V$171,2,FALSE)</f>
        <v>57</v>
      </c>
      <c r="N110" t="str" cm="1">
        <f t="array" ref="N110">INDEX(HVW!E$3:E$950,M110)</f>
        <v>VfL Waiblingen Handball 2</v>
      </c>
    </row>
    <row r="111" spans="2:14" x14ac:dyDescent="0.35">
      <c r="B111">
        <f t="shared" si="21"/>
        <v>71</v>
      </c>
      <c r="C111">
        <f t="shared" si="18"/>
        <v>78</v>
      </c>
      <c r="D111" t="str" cm="1">
        <f t="array" ref="D111">IF(C111=0,INDEX(D$10:D$97,B$36+1-B111),INDEX(I$41:I$1016,C111))</f>
        <v>BOL Platz 1 Rang 2</v>
      </c>
      <c r="E111" t="str" cm="1">
        <f t="array" ref="E111">IF(C111=0,INDEX(E$10:E$113,B$36+1-B111),INDEX(N$41:N$1016,C111))</f>
        <v>HSG Lauffen-Neipperg</v>
      </c>
      <c r="F111">
        <f t="shared" si="19"/>
        <v>171</v>
      </c>
      <c r="G111">
        <f t="shared" si="20"/>
        <v>99</v>
      </c>
      <c r="H111">
        <f t="shared" si="22"/>
        <v>71</v>
      </c>
      <c r="I111" t="str">
        <f t="shared" si="8"/>
        <v>LL Platz 9 Rang 3</v>
      </c>
      <c r="J111" t="s">
        <v>3</v>
      </c>
      <c r="K111">
        <f t="shared" si="16"/>
        <v>9</v>
      </c>
      <c r="L111">
        <f t="shared" si="17"/>
        <v>3</v>
      </c>
      <c r="M111">
        <f>VLOOKUP(H111+2,HVW!U$3:V$171,2,FALSE)</f>
        <v>67</v>
      </c>
      <c r="N111" t="str" cm="1">
        <f t="array" ref="N111">INDEX(HVW!E$3:E$950,M111)</f>
        <v>SG Hirsau/Calw/Bad Liebenzell</v>
      </c>
    </row>
    <row r="112" spans="2:14" x14ac:dyDescent="0.35">
      <c r="B112">
        <f t="shared" si="21"/>
        <v>72</v>
      </c>
      <c r="C112">
        <f t="shared" si="18"/>
        <v>79</v>
      </c>
      <c r="D112" t="str" cm="1">
        <f t="array" ref="D112">IF(C112=0,INDEX(D$10:D$97,B$36+1-B112),INDEX(I$41:I$1016,C112))</f>
        <v>BOL Platz 1 Rang 3</v>
      </c>
      <c r="E112" t="str" cm="1">
        <f t="array" ref="E112">IF(C112=0,INDEX(E$10:E$113,B$36+1-B112),INDEX(N$41:N$1016,C112))</f>
        <v>TV Weilstetten 2</v>
      </c>
      <c r="F112">
        <f t="shared" si="19"/>
        <v>172</v>
      </c>
      <c r="G112">
        <f t="shared" si="20"/>
        <v>99</v>
      </c>
      <c r="H112">
        <f t="shared" si="22"/>
        <v>72</v>
      </c>
      <c r="I112" t="str">
        <f t="shared" si="8"/>
        <v>LL Platz 9 Rang 4</v>
      </c>
      <c r="J112" t="s">
        <v>3</v>
      </c>
      <c r="K112">
        <f t="shared" si="16"/>
        <v>9</v>
      </c>
      <c r="L112">
        <f t="shared" si="17"/>
        <v>4</v>
      </c>
      <c r="M112">
        <f>VLOOKUP(H112+2,HVW!U$3:V$171,2,FALSE)</f>
        <v>77</v>
      </c>
      <c r="N112" t="str" cm="1">
        <f t="array" ref="N112">INDEX(HVW!E$3:E$950,M112)</f>
        <v>HC Hohenems</v>
      </c>
    </row>
    <row r="113" spans="2:14" x14ac:dyDescent="0.35">
      <c r="B113">
        <f t="shared" si="21"/>
        <v>73</v>
      </c>
      <c r="C113">
        <f t="shared" si="18"/>
        <v>80</v>
      </c>
      <c r="D113" t="str" cm="1">
        <f t="array" ref="D113">IF(C113=0,INDEX(D$10:D$97,B$36+1-B113),INDEX(I$41:I$1016,C113))</f>
        <v>BOL Platz 1 Rang 4</v>
      </c>
      <c r="E113" t="str" cm="1">
        <f t="array" ref="E113">IF(C113=0,INDEX(E$10:E$113,B$36+1-B113),INDEX(N$41:N$1016,C113))</f>
        <v>TV Steinheim/A.</v>
      </c>
      <c r="F113">
        <f t="shared" si="19"/>
        <v>173</v>
      </c>
      <c r="G113">
        <f t="shared" si="20"/>
        <v>99</v>
      </c>
      <c r="H113">
        <f t="shared" si="22"/>
        <v>73</v>
      </c>
      <c r="I113" t="str">
        <f t="shared" si="8"/>
        <v>LL Platz 10 Rang 1</v>
      </c>
      <c r="J113" t="s">
        <v>3</v>
      </c>
      <c r="K113">
        <f t="shared" si="16"/>
        <v>10</v>
      </c>
      <c r="L113">
        <f t="shared" si="17"/>
        <v>1</v>
      </c>
      <c r="M113">
        <f>VLOOKUP(H113+2,HVW!U$3:V$171,2,FALSE)</f>
        <v>68</v>
      </c>
      <c r="N113" t="str" cm="1">
        <f t="array" ref="N113">INDEX(HVW!E$3:E$950,M113)</f>
        <v>TSB Schwäbisch Gmünd 2</v>
      </c>
    </row>
    <row r="114" spans="2:14" x14ac:dyDescent="0.35">
      <c r="B114">
        <f t="shared" si="21"/>
        <v>74</v>
      </c>
      <c r="C114">
        <f t="shared" si="18"/>
        <v>81</v>
      </c>
      <c r="D114" t="str" cm="1">
        <f t="array" ref="D114">IF(C114=0,INDEX(D$10:D$97,B$36+1-B114),INDEX(I$41:I$1016,C114))</f>
        <v>BOL Platz 1 Rang 5</v>
      </c>
      <c r="E114" t="str" cm="1">
        <f t="array" ref="E114">IF(C114=0,INDEX(E$10:E$113,B$36+1-B114),INDEX(N$41:N$1016,C114))</f>
        <v>TV 1893 Neuhausen/E. 2</v>
      </c>
      <c r="F114">
        <f t="shared" si="19"/>
        <v>174</v>
      </c>
      <c r="G114">
        <f t="shared" si="20"/>
        <v>99</v>
      </c>
      <c r="H114">
        <f t="shared" si="22"/>
        <v>74</v>
      </c>
      <c r="I114" t="str">
        <f t="shared" si="8"/>
        <v>LL Platz 10 Rang 2</v>
      </c>
      <c r="J114" t="s">
        <v>3</v>
      </c>
      <c r="K114">
        <f t="shared" si="16"/>
        <v>10</v>
      </c>
      <c r="L114">
        <f t="shared" si="17"/>
        <v>2</v>
      </c>
      <c r="M114">
        <f>VLOOKUP(H114+2,HVW!U$3:V$171,2,FALSE)</f>
        <v>48</v>
      </c>
      <c r="N114" t="str" cm="1">
        <f t="array" ref="N114">INDEX(HVW!E$3:E$950,M114)</f>
        <v>Handballregion Bottwar SG 2</v>
      </c>
    </row>
    <row r="115" spans="2:14" x14ac:dyDescent="0.35">
      <c r="B115">
        <f t="shared" si="21"/>
        <v>75</v>
      </c>
      <c r="C115">
        <f t="shared" si="18"/>
        <v>82</v>
      </c>
      <c r="D115" t="str" cm="1">
        <f t="array" ref="D115">IF(C115=0,INDEX(D$10:D$97,B$36+1-B115),INDEX(I$41:I$1016,C115))</f>
        <v>BOL Platz 1 Rang 6</v>
      </c>
      <c r="E115" t="str" cm="1">
        <f t="array" ref="E115">IF(C115=0,INDEX(E$10:E$113,B$36+1-B115),INDEX(N$41:N$1016,C115))</f>
        <v>TSF Ditzingen 2</v>
      </c>
      <c r="F115">
        <f t="shared" si="19"/>
        <v>175</v>
      </c>
      <c r="G115">
        <f t="shared" si="20"/>
        <v>99</v>
      </c>
      <c r="H115">
        <f t="shared" si="22"/>
        <v>75</v>
      </c>
      <c r="I115" t="str">
        <f t="shared" si="8"/>
        <v>LL Platz 10 Rang 3</v>
      </c>
      <c r="J115" t="s">
        <v>3</v>
      </c>
      <c r="K115">
        <f t="shared" si="16"/>
        <v>10</v>
      </c>
      <c r="L115">
        <f t="shared" si="17"/>
        <v>3</v>
      </c>
      <c r="M115">
        <f>VLOOKUP(H115+2,HVW!U$3:V$171,2,FALSE)</f>
        <v>78</v>
      </c>
      <c r="N115" t="str" cm="1">
        <f t="array" ref="N115">INDEX(HVW!E$3:E$950,M115)</f>
        <v>TSG Söflingen 2</v>
      </c>
    </row>
    <row r="116" spans="2:14" x14ac:dyDescent="0.35">
      <c r="B116">
        <f t="shared" si="21"/>
        <v>76</v>
      </c>
      <c r="C116">
        <f t="shared" si="18"/>
        <v>83</v>
      </c>
      <c r="D116" t="str" cm="1">
        <f t="array" ref="D116">IF(C116=0,INDEX(D$10:D$97,B$36+1-B116),INDEX(I$41:I$1016,C116))</f>
        <v>BOL Platz 1 Rang 7</v>
      </c>
      <c r="E116" t="str" cm="1">
        <f t="array" ref="E116">IF(C116=0,INDEX(E$10:E$113,B$36+1-B116),INDEX(N$41:N$1016,C116))</f>
        <v>MTG Wangen 2</v>
      </c>
      <c r="F116">
        <f t="shared" si="19"/>
        <v>176</v>
      </c>
      <c r="G116">
        <f t="shared" si="20"/>
        <v>99</v>
      </c>
      <c r="H116">
        <f t="shared" si="22"/>
        <v>76</v>
      </c>
      <c r="I116" t="str">
        <f t="shared" si="8"/>
        <v>LL Platz 10 Rang 4</v>
      </c>
      <c r="J116" t="s">
        <v>3</v>
      </c>
      <c r="K116">
        <f t="shared" si="16"/>
        <v>10</v>
      </c>
      <c r="L116">
        <f t="shared" si="17"/>
        <v>4</v>
      </c>
      <c r="M116">
        <f>VLOOKUP(H116+2,HVW!U$3:V$171,2,FALSE)</f>
        <v>58</v>
      </c>
      <c r="N116" t="str" cm="1">
        <f t="array" ref="N116">INDEX(HVW!E$3:E$950,M116)</f>
        <v>SG Schorndorf 1846</v>
      </c>
    </row>
    <row r="117" spans="2:14" x14ac:dyDescent="0.35">
      <c r="B117">
        <f t="shared" si="21"/>
        <v>77</v>
      </c>
      <c r="C117">
        <f t="shared" si="18"/>
        <v>84</v>
      </c>
      <c r="D117" t="str" cm="1">
        <f t="array" ref="D117">IF(C117=0,INDEX(D$10:D$97,B$36+1-B117),INDEX(I$41:I$1016,C117))</f>
        <v>BOL Platz 1 Rang 8</v>
      </c>
      <c r="E117" t="str" cm="1">
        <f t="array" ref="E117">IF(C117=0,INDEX(E$10:E$113,B$36+1-B117),INDEX(N$41:N$1016,C117))</f>
        <v>MTV Stuttgart</v>
      </c>
      <c r="F117">
        <f t="shared" si="19"/>
        <v>70</v>
      </c>
      <c r="G117">
        <f t="shared" si="20"/>
        <v>-8</v>
      </c>
      <c r="H117">
        <f t="shared" si="22"/>
        <v>77</v>
      </c>
      <c r="I117" t="str">
        <f t="shared" si="8"/>
        <v>BOL Platz 1 Rang 1</v>
      </c>
      <c r="J117" t="s">
        <v>5</v>
      </c>
      <c r="K117">
        <v>1</v>
      </c>
      <c r="L117">
        <v>1</v>
      </c>
      <c r="M117">
        <f>VLOOKUP(H117+2,HVW!U$3:V$171,2,FALSE)</f>
        <v>111</v>
      </c>
      <c r="N117" t="str" cm="1">
        <f t="array" ref="N117">INDEX(HVW!E$3:E$950,M117)</f>
        <v>TSV Neuhausen/F. 1898 2</v>
      </c>
    </row>
    <row r="118" spans="2:14" x14ac:dyDescent="0.35">
      <c r="B118">
        <f t="shared" si="21"/>
        <v>78</v>
      </c>
      <c r="C118">
        <f t="shared" si="18"/>
        <v>85</v>
      </c>
      <c r="D118" t="str" cm="1">
        <f t="array" ref="D118">IF(C118=0,INDEX(D$10:D$97,B$36+1-B118),INDEX(I$41:I$1016,C118))</f>
        <v>BOL Platz 2 Rang 1</v>
      </c>
      <c r="E118" t="str" cm="1">
        <f t="array" ref="E118">IF(C118=0,INDEX(E$10:E$113,B$36+1-B118),INDEX(N$41:N$1016,C118))</f>
        <v>HSG Owen-Lenningen</v>
      </c>
      <c r="F118">
        <f t="shared" si="19"/>
        <v>71</v>
      </c>
      <c r="G118">
        <f t="shared" si="20"/>
        <v>-8</v>
      </c>
      <c r="H118">
        <f t="shared" si="22"/>
        <v>78</v>
      </c>
      <c r="I118" t="str">
        <f t="shared" ref="I118:I164" si="23">J118&amp;" Platz "&amp;K118&amp;" Rang "&amp;L118</f>
        <v>BOL Platz 1 Rang 2</v>
      </c>
      <c r="J118" t="s">
        <v>5</v>
      </c>
      <c r="K118">
        <v>1</v>
      </c>
      <c r="L118">
        <v>2</v>
      </c>
      <c r="M118">
        <f>VLOOKUP(H118+2,HVW!U$3:V$171,2,FALSE)</f>
        <v>79</v>
      </c>
      <c r="N118" t="str" cm="1">
        <f t="array" ref="N118">INDEX(HVW!E$3:E$950,M118)</f>
        <v>HSG Lauffen-Neipperg</v>
      </c>
    </row>
    <row r="119" spans="2:14" x14ac:dyDescent="0.35">
      <c r="B119">
        <f t="shared" si="21"/>
        <v>79</v>
      </c>
      <c r="C119">
        <f t="shared" si="18"/>
        <v>86</v>
      </c>
      <c r="D119" t="str" cm="1">
        <f t="array" ref="D119">IF(C119=0,INDEX(D$10:D$97,B$36+1-B119),INDEX(I$41:I$1016,C119))</f>
        <v>BOL Platz 2 Rang 2</v>
      </c>
      <c r="E119" t="str" cm="1">
        <f t="array" ref="E119">IF(C119=0,INDEX(E$10:E$113,B$36+1-B119),INDEX(N$41:N$1016,C119))</f>
        <v>SG Dunningen/Schramberg</v>
      </c>
      <c r="F119">
        <f t="shared" si="19"/>
        <v>72</v>
      </c>
      <c r="G119">
        <f t="shared" si="20"/>
        <v>-8</v>
      </c>
      <c r="H119">
        <f t="shared" si="22"/>
        <v>79</v>
      </c>
      <c r="I119" t="str">
        <f t="shared" si="23"/>
        <v>BOL Platz 1 Rang 3</v>
      </c>
      <c r="J119" t="s">
        <v>5</v>
      </c>
      <c r="K119">
        <v>1</v>
      </c>
      <c r="L119">
        <v>3</v>
      </c>
      <c r="M119">
        <f>VLOOKUP(H119+2,HVW!U$3:V$171,2,FALSE)</f>
        <v>147</v>
      </c>
      <c r="N119" t="str" cm="1">
        <f t="array" ref="N119">INDEX(HVW!E$3:E$950,M119)</f>
        <v>TV Weilstetten 2</v>
      </c>
    </row>
    <row r="120" spans="2:14" x14ac:dyDescent="0.35">
      <c r="B120">
        <f t="shared" si="21"/>
        <v>80</v>
      </c>
      <c r="C120">
        <f t="shared" si="18"/>
        <v>87</v>
      </c>
      <c r="D120" t="str" cm="1">
        <f t="array" ref="D120">IF(C120=0,INDEX(D$10:D$97,B$36+1-B120),INDEX(I$41:I$1016,C120))</f>
        <v>BOL Platz 2 Rang 3</v>
      </c>
      <c r="E120" t="str" cm="1">
        <f t="array" ref="E120">IF(C120=0,INDEX(E$10:E$113,B$36+1-B120),INDEX(N$41:N$1016,C120))</f>
        <v>HSG Böblingen/Sindelfingen 2</v>
      </c>
      <c r="F120">
        <f t="shared" si="19"/>
        <v>73</v>
      </c>
      <c r="G120">
        <f t="shared" si="20"/>
        <v>-8</v>
      </c>
      <c r="H120">
        <f t="shared" si="22"/>
        <v>80</v>
      </c>
      <c r="I120" t="str">
        <f t="shared" si="23"/>
        <v>BOL Platz 1 Rang 4</v>
      </c>
      <c r="J120" t="s">
        <v>5</v>
      </c>
      <c r="K120">
        <v>1</v>
      </c>
      <c r="L120">
        <v>4</v>
      </c>
      <c r="M120">
        <f>VLOOKUP(H120+2,HVW!U$3:V$171,2,FALSE)</f>
        <v>123</v>
      </c>
      <c r="N120" t="str" cm="1">
        <f t="array" ref="N120">INDEX(HVW!E$3:E$950,M120)</f>
        <v>TV Steinheim/A.</v>
      </c>
    </row>
    <row r="121" spans="2:14" x14ac:dyDescent="0.35">
      <c r="B121">
        <f t="shared" si="21"/>
        <v>81</v>
      </c>
      <c r="C121">
        <f t="shared" si="18"/>
        <v>88</v>
      </c>
      <c r="D121" t="str" cm="1">
        <f t="array" ref="D121">IF(C121=0,INDEX(D$10:D$97,B$36+1-B121),INDEX(I$41:I$1016,C121))</f>
        <v>BOL Platz 2 Rang 4</v>
      </c>
      <c r="E121" t="str" cm="1">
        <f t="array" ref="E121">IF(C121=0,INDEX(E$10:E$113,B$36+1-B121),INDEX(N$41:N$1016,C121))</f>
        <v>TSG Schnaitheim</v>
      </c>
      <c r="F121">
        <f t="shared" si="19"/>
        <v>74</v>
      </c>
      <c r="G121">
        <f t="shared" si="20"/>
        <v>-8</v>
      </c>
      <c r="H121" s="2">
        <f t="shared" si="22"/>
        <v>81</v>
      </c>
      <c r="I121" t="str">
        <f t="shared" si="23"/>
        <v>BOL Platz 1 Rang 5</v>
      </c>
      <c r="J121" t="s">
        <v>5</v>
      </c>
      <c r="K121">
        <v>1</v>
      </c>
      <c r="L121">
        <v>5</v>
      </c>
      <c r="M121">
        <f>VLOOKUP(H121+2,HVW!U$3:V$171,2,FALSE)</f>
        <v>135</v>
      </c>
      <c r="N121" t="str" cm="1">
        <f t="array" ref="N121">INDEX(HVW!E$3:E$950,M121)</f>
        <v>TV 1893 Neuhausen/E. 2</v>
      </c>
    </row>
    <row r="122" spans="2:14" x14ac:dyDescent="0.35">
      <c r="B122">
        <f t="shared" si="21"/>
        <v>82</v>
      </c>
      <c r="C122">
        <f t="shared" si="18"/>
        <v>89</v>
      </c>
      <c r="D122" t="str" cm="1">
        <f t="array" ref="D122">IF(C122=0,INDEX(D$10:D$97,B$36+1-B122),INDEX(I$41:I$1016,C122))</f>
        <v>BOL Platz 2 Rang 5</v>
      </c>
      <c r="E122" t="str" cm="1">
        <f t="array" ref="E122">IF(C122=0,INDEX(E$10:E$113,B$36+1-B122),INDEX(N$41:N$1016,C122))</f>
        <v>HSG Hohenlohe</v>
      </c>
      <c r="F122">
        <f t="shared" si="19"/>
        <v>75</v>
      </c>
      <c r="G122">
        <f t="shared" si="20"/>
        <v>-8</v>
      </c>
      <c r="H122" s="2">
        <f t="shared" si="22"/>
        <v>82</v>
      </c>
      <c r="I122" t="str">
        <f t="shared" si="23"/>
        <v>BOL Platz 1 Rang 6</v>
      </c>
      <c r="J122" t="s">
        <v>5</v>
      </c>
      <c r="K122">
        <v>1</v>
      </c>
      <c r="L122">
        <v>6</v>
      </c>
      <c r="M122">
        <f>VLOOKUP(H122+2,HVW!U$3:V$171,2,FALSE)</f>
        <v>89</v>
      </c>
      <c r="N122" t="str" cm="1">
        <f t="array" ref="N122">INDEX(HVW!E$3:E$950,M122)</f>
        <v>TSF Ditzingen 2</v>
      </c>
    </row>
    <row r="123" spans="2:14" x14ac:dyDescent="0.35">
      <c r="B123">
        <f t="shared" si="21"/>
        <v>83</v>
      </c>
      <c r="C123">
        <f t="shared" si="18"/>
        <v>90</v>
      </c>
      <c r="D123" t="str" cm="1">
        <f t="array" ref="D123">IF(C123=0,INDEX(D$10:D$97,B$36+1-B123),INDEX(I$41:I$1016,C123))</f>
        <v>BOL Platz 2 Rang 6</v>
      </c>
      <c r="E123" t="str" cm="1">
        <f t="array" ref="E123">IF(C123=0,INDEX(E$10:E$113,B$36+1-B123),INDEX(N$41:N$1016,C123))</f>
        <v>CVJM Möglingen</v>
      </c>
      <c r="F123">
        <f t="shared" si="19"/>
        <v>76</v>
      </c>
      <c r="G123">
        <f t="shared" si="20"/>
        <v>-8</v>
      </c>
      <c r="H123" s="2">
        <f t="shared" si="22"/>
        <v>83</v>
      </c>
      <c r="I123" t="str">
        <f t="shared" si="23"/>
        <v>BOL Platz 1 Rang 7</v>
      </c>
      <c r="J123" t="s">
        <v>5</v>
      </c>
      <c r="K123">
        <v>1</v>
      </c>
      <c r="L123">
        <v>7</v>
      </c>
      <c r="M123">
        <f>VLOOKUP(H123+2,HVW!U$3:V$171,2,FALSE)</f>
        <v>159</v>
      </c>
      <c r="N123" t="str" cm="1">
        <f t="array" ref="N123">INDEX(HVW!E$3:E$950,M123)</f>
        <v>MTG Wangen 2</v>
      </c>
    </row>
    <row r="124" spans="2:14" x14ac:dyDescent="0.35">
      <c r="B124">
        <f t="shared" si="21"/>
        <v>84</v>
      </c>
      <c r="C124">
        <f t="shared" si="18"/>
        <v>91</v>
      </c>
      <c r="D124" t="str" cm="1">
        <f t="array" ref="D124">IF(C124=0,INDEX(D$10:D$97,B$36+1-B124),INDEX(I$41:I$1016,C124))</f>
        <v>BOL Platz 2 Rang 7</v>
      </c>
      <c r="E124" t="str" cm="1">
        <f t="array" ref="E124">IF(C124=0,INDEX(E$10:E$113,B$36+1-B124),INDEX(N$41:N$1016,C124))</f>
        <v>HC Lustenau</v>
      </c>
      <c r="F124">
        <f t="shared" si="19"/>
        <v>77</v>
      </c>
      <c r="G124">
        <f t="shared" si="20"/>
        <v>-8</v>
      </c>
      <c r="H124" s="2">
        <f t="shared" si="22"/>
        <v>84</v>
      </c>
      <c r="I124" t="str">
        <f t="shared" si="23"/>
        <v>BOL Platz 1 Rang 8</v>
      </c>
      <c r="J124" t="s">
        <v>5</v>
      </c>
      <c r="K124">
        <v>1</v>
      </c>
      <c r="L124">
        <v>8</v>
      </c>
      <c r="M124">
        <f>VLOOKUP(H124+2,HVW!U$3:V$171,2,FALSE)</f>
        <v>100</v>
      </c>
      <c r="N124" t="str" cm="1">
        <f t="array" ref="N124">INDEX(HVW!E$3:E$950,M124)</f>
        <v>MTV Stuttgart</v>
      </c>
    </row>
    <row r="125" spans="2:14" x14ac:dyDescent="0.35">
      <c r="B125">
        <f t="shared" si="21"/>
        <v>85</v>
      </c>
      <c r="C125">
        <f t="shared" si="18"/>
        <v>92</v>
      </c>
      <c r="D125" t="str" cm="1">
        <f t="array" ref="D125">IF(C125=0,INDEX(D$10:D$97,B$36+1-B125),INDEX(I$41:I$1016,C125))</f>
        <v>BOL Platz 2 Rang 8</v>
      </c>
      <c r="E125" t="str" cm="1">
        <f t="array" ref="E125">IF(C125=0,INDEX(E$10:E$113,B$36+1-B125),INDEX(N$41:N$1016,C125))</f>
        <v>TV Stetten</v>
      </c>
      <c r="F125">
        <f t="shared" si="19"/>
        <v>78</v>
      </c>
      <c r="G125">
        <f t="shared" si="20"/>
        <v>-8</v>
      </c>
      <c r="H125">
        <f t="shared" si="22"/>
        <v>85</v>
      </c>
      <c r="I125" t="str">
        <f t="shared" si="23"/>
        <v>BOL Platz 2 Rang 1</v>
      </c>
      <c r="J125" t="s">
        <v>5</v>
      </c>
      <c r="K125">
        <f>K117+1</f>
        <v>2</v>
      </c>
      <c r="L125">
        <f>L117</f>
        <v>1</v>
      </c>
      <c r="M125">
        <f>VLOOKUP(H125+2,HVW!U$3:V$171,2,FALSE)</f>
        <v>112</v>
      </c>
      <c r="N125" t="str" cm="1">
        <f t="array" ref="N125">INDEX(HVW!E$3:E$950,M125)</f>
        <v>HSG Owen-Lenningen</v>
      </c>
    </row>
    <row r="126" spans="2:14" x14ac:dyDescent="0.35">
      <c r="B126">
        <f t="shared" si="21"/>
        <v>86</v>
      </c>
      <c r="C126">
        <f t="shared" si="18"/>
        <v>93</v>
      </c>
      <c r="D126" t="str" cm="1">
        <f t="array" ref="D126">IF(C126=0,INDEX(D$10:D$97,B$36+1-B126),INDEX(I$41:I$1016,C126))</f>
        <v>BOL Platz 3 Rang 1</v>
      </c>
      <c r="E126" t="str" cm="1">
        <f t="array" ref="E126">IF(C126=0,INDEX(E$10:E$113,B$36+1-B126),INDEX(N$41:N$1016,C126))</f>
        <v>HK Ostdorf/Geislingen</v>
      </c>
      <c r="F126">
        <f t="shared" si="19"/>
        <v>79</v>
      </c>
      <c r="G126">
        <f t="shared" si="20"/>
        <v>-8</v>
      </c>
      <c r="H126">
        <f t="shared" si="22"/>
        <v>86</v>
      </c>
      <c r="I126" t="str">
        <f t="shared" si="23"/>
        <v>BOL Platz 2 Rang 2</v>
      </c>
      <c r="J126" t="s">
        <v>5</v>
      </c>
      <c r="K126">
        <f t="shared" ref="K126:K164" si="24">K118+1</f>
        <v>2</v>
      </c>
      <c r="L126">
        <f t="shared" ref="L126:L139" si="25">L118</f>
        <v>2</v>
      </c>
      <c r="M126">
        <f>VLOOKUP(H126+2,HVW!U$3:V$171,2,FALSE)</f>
        <v>148</v>
      </c>
      <c r="N126" t="str" cm="1">
        <f t="array" ref="N126">INDEX(HVW!E$3:E$950,M126)</f>
        <v>SG Dunningen/Schramberg</v>
      </c>
    </row>
    <row r="127" spans="2:14" x14ac:dyDescent="0.35">
      <c r="B127">
        <f t="shared" si="21"/>
        <v>87</v>
      </c>
      <c r="C127">
        <f t="shared" si="18"/>
        <v>94</v>
      </c>
      <c r="D127" t="str" cm="1">
        <f t="array" ref="D127">IF(C127=0,INDEX(D$10:D$97,B$36+1-B127),INDEX(I$41:I$1016,C127))</f>
        <v>BOL Platz 3 Rang 2</v>
      </c>
      <c r="E127" t="str" cm="1">
        <f t="array" ref="E127">IF(C127=0,INDEX(E$10:E$113,B$36+1-B127),INDEX(N$41:N$1016,C127))</f>
        <v>HT Uhingen-Holzhausen</v>
      </c>
      <c r="F127">
        <f t="shared" si="19"/>
        <v>80</v>
      </c>
      <c r="G127">
        <f t="shared" si="20"/>
        <v>-8</v>
      </c>
      <c r="H127">
        <f t="shared" si="22"/>
        <v>87</v>
      </c>
      <c r="I127" t="str">
        <f t="shared" si="23"/>
        <v>BOL Platz 2 Rang 3</v>
      </c>
      <c r="J127" t="s">
        <v>5</v>
      </c>
      <c r="K127">
        <f t="shared" si="24"/>
        <v>2</v>
      </c>
      <c r="L127">
        <f t="shared" si="25"/>
        <v>3</v>
      </c>
      <c r="M127">
        <f>VLOOKUP(H127+2,HVW!U$3:V$171,2,FALSE)</f>
        <v>136</v>
      </c>
      <c r="N127" t="str" cm="1">
        <f t="array" ref="N127">INDEX(HVW!E$3:E$950,M127)</f>
        <v>HSG Böblingen/Sindelfingen 2</v>
      </c>
    </row>
    <row r="128" spans="2:14" x14ac:dyDescent="0.35">
      <c r="B128">
        <f t="shared" si="21"/>
        <v>88</v>
      </c>
      <c r="C128">
        <f t="shared" si="18"/>
        <v>95</v>
      </c>
      <c r="D128" t="str" cm="1">
        <f t="array" ref="D128">IF(C128=0,INDEX(D$10:D$97,B$36+1-B128),INDEX(I$41:I$1016,C128))</f>
        <v>BOL Platz 3 Rang 3</v>
      </c>
      <c r="E128" t="str" cm="1">
        <f t="array" ref="E128">IF(C128=0,INDEX(E$10:E$113,B$36+1-B128),INDEX(N$41:N$1016,C128))</f>
        <v>TV Weingarten Handball</v>
      </c>
      <c r="F128">
        <f t="shared" si="19"/>
        <v>81</v>
      </c>
      <c r="G128">
        <f t="shared" si="20"/>
        <v>-8</v>
      </c>
      <c r="H128">
        <f t="shared" si="22"/>
        <v>88</v>
      </c>
      <c r="I128" t="str">
        <f t="shared" si="23"/>
        <v>BOL Platz 2 Rang 4</v>
      </c>
      <c r="J128" t="s">
        <v>5</v>
      </c>
      <c r="K128">
        <f t="shared" si="24"/>
        <v>2</v>
      </c>
      <c r="L128">
        <f t="shared" si="25"/>
        <v>4</v>
      </c>
      <c r="M128">
        <f>VLOOKUP(H128+2,HVW!U$3:V$171,2,FALSE)</f>
        <v>124</v>
      </c>
      <c r="N128" t="str" cm="1">
        <f t="array" ref="N128">INDEX(HVW!E$3:E$950,M128)</f>
        <v>TSG Schnaitheim</v>
      </c>
    </row>
    <row r="129" spans="2:14" x14ac:dyDescent="0.35">
      <c r="B129">
        <f t="shared" si="21"/>
        <v>89</v>
      </c>
      <c r="C129">
        <f t="shared" si="18"/>
        <v>96</v>
      </c>
      <c r="D129" t="str" cm="1">
        <f t="array" ref="D129">IF(C129=0,INDEX(D$10:D$97,B$36+1-B129),INDEX(I$41:I$1016,C129))</f>
        <v>BOL Platz 3 Rang 4</v>
      </c>
      <c r="E129" t="str" cm="1">
        <f t="array" ref="E129">IF(C129=0,INDEX(E$10:E$113,B$36+1-B129),INDEX(N$41:N$1016,C129))</f>
        <v>Kuchen-Gingen-Süssen Handball</v>
      </c>
      <c r="F129">
        <f t="shared" si="19"/>
        <v>82</v>
      </c>
      <c r="G129">
        <f t="shared" si="20"/>
        <v>-8</v>
      </c>
      <c r="H129">
        <f t="shared" si="22"/>
        <v>89</v>
      </c>
      <c r="I129" t="str">
        <f t="shared" si="23"/>
        <v>BOL Platz 2 Rang 5</v>
      </c>
      <c r="J129" t="s">
        <v>5</v>
      </c>
      <c r="K129">
        <f t="shared" si="24"/>
        <v>2</v>
      </c>
      <c r="L129">
        <f t="shared" si="25"/>
        <v>5</v>
      </c>
      <c r="M129">
        <f>VLOOKUP(H129+2,HVW!U$3:V$171,2,FALSE)</f>
        <v>80</v>
      </c>
      <c r="N129" t="str" cm="1">
        <f t="array" ref="N129">INDEX(HVW!E$3:E$950,M129)</f>
        <v>HSG Hohenlohe</v>
      </c>
    </row>
    <row r="130" spans="2:14" x14ac:dyDescent="0.35">
      <c r="B130">
        <f t="shared" si="21"/>
        <v>90</v>
      </c>
      <c r="C130">
        <f t="shared" si="18"/>
        <v>97</v>
      </c>
      <c r="D130" t="str" cm="1">
        <f t="array" ref="D130">IF(C130=0,INDEX(D$10:D$97,B$36+1-B130),INDEX(I$41:I$1016,C130))</f>
        <v>BOL Platz 3 Rang 5</v>
      </c>
      <c r="E130" t="str" cm="1">
        <f t="array" ref="E130">IF(C130=0,INDEX(E$10:E$113,B$36+1-B130),INDEX(N$41:N$1016,C130))</f>
        <v>SV Remshalden 2</v>
      </c>
      <c r="F130">
        <f t="shared" si="19"/>
        <v>83</v>
      </c>
      <c r="G130">
        <f t="shared" si="20"/>
        <v>-8</v>
      </c>
      <c r="H130">
        <f t="shared" si="22"/>
        <v>90</v>
      </c>
      <c r="I130" t="str">
        <f t="shared" si="23"/>
        <v>BOL Platz 2 Rang 6</v>
      </c>
      <c r="J130" t="s">
        <v>5</v>
      </c>
      <c r="K130">
        <f t="shared" si="24"/>
        <v>2</v>
      </c>
      <c r="L130">
        <f t="shared" si="25"/>
        <v>6</v>
      </c>
      <c r="M130">
        <f>VLOOKUP(H130+2,HVW!U$3:V$171,2,FALSE)</f>
        <v>90</v>
      </c>
      <c r="N130" t="str" cm="1">
        <f t="array" ref="N130">INDEX(HVW!E$3:E$950,M130)</f>
        <v>CVJM Möglingen</v>
      </c>
    </row>
    <row r="131" spans="2:14" x14ac:dyDescent="0.35">
      <c r="B131">
        <f t="shared" si="21"/>
        <v>91</v>
      </c>
      <c r="C131">
        <f t="shared" si="18"/>
        <v>98</v>
      </c>
      <c r="D131" t="str" cm="1">
        <f t="array" ref="D131">IF(C131=0,INDEX(D$10:D$97,B$36+1-B131),INDEX(I$41:I$1016,C131))</f>
        <v>BOL Platz 3 Rang 6</v>
      </c>
      <c r="E131" t="str" cm="1">
        <f t="array" ref="E131">IF(C131=0,INDEX(E$10:E$113,B$36+1-B131),INDEX(N$41:N$1016,C131))</f>
        <v>SG Tübingen</v>
      </c>
      <c r="F131">
        <f t="shared" si="19"/>
        <v>84</v>
      </c>
      <c r="G131">
        <f t="shared" si="20"/>
        <v>-8</v>
      </c>
      <c r="H131">
        <f t="shared" si="22"/>
        <v>91</v>
      </c>
      <c r="I131" t="str">
        <f t="shared" si="23"/>
        <v>BOL Platz 2 Rang 7</v>
      </c>
      <c r="J131" t="s">
        <v>5</v>
      </c>
      <c r="K131">
        <f t="shared" si="24"/>
        <v>2</v>
      </c>
      <c r="L131">
        <f t="shared" si="25"/>
        <v>7</v>
      </c>
      <c r="M131">
        <f>VLOOKUP(H131+2,HVW!U$3:V$171,2,FALSE)</f>
        <v>160</v>
      </c>
      <c r="N131" t="str" cm="1">
        <f t="array" ref="N131">INDEX(HVW!E$3:E$950,M131)</f>
        <v>HC Lustenau</v>
      </c>
    </row>
    <row r="132" spans="2:14" x14ac:dyDescent="0.35">
      <c r="B132">
        <f t="shared" si="21"/>
        <v>92</v>
      </c>
      <c r="C132">
        <f t="shared" si="18"/>
        <v>99</v>
      </c>
      <c r="D132" t="str" cm="1">
        <f t="array" ref="D132">IF(C132=0,INDEX(D$10:D$97,B$36+1-B132),INDEX(I$41:I$1016,C132))</f>
        <v>BOL Platz 3 Rang 7</v>
      </c>
      <c r="E132" t="str" cm="1">
        <f t="array" ref="E132">IF(C132=0,INDEX(E$10:E$113,B$36+1-B132),INDEX(N$41:N$1016,C132))</f>
        <v>SG Schozach-Bottwartal 2</v>
      </c>
      <c r="F132">
        <f t="shared" si="19"/>
        <v>85</v>
      </c>
      <c r="G132">
        <f t="shared" si="20"/>
        <v>-8</v>
      </c>
      <c r="H132">
        <f t="shared" si="22"/>
        <v>92</v>
      </c>
      <c r="I132" t="str">
        <f t="shared" si="23"/>
        <v>BOL Platz 2 Rang 8</v>
      </c>
      <c r="J132" t="s">
        <v>5</v>
      </c>
      <c r="K132">
        <f t="shared" si="24"/>
        <v>2</v>
      </c>
      <c r="L132">
        <f t="shared" si="25"/>
        <v>8</v>
      </c>
      <c r="M132">
        <f>VLOOKUP(H132+2,HVW!U$3:V$171,2,FALSE)</f>
        <v>101</v>
      </c>
      <c r="N132" t="str" cm="1">
        <f t="array" ref="N132">INDEX(HVW!E$3:E$950,M132)</f>
        <v>TV Stetten</v>
      </c>
    </row>
    <row r="133" spans="2:14" x14ac:dyDescent="0.35">
      <c r="B133">
        <f t="shared" si="21"/>
        <v>93</v>
      </c>
      <c r="C133">
        <f t="shared" si="18"/>
        <v>100</v>
      </c>
      <c r="D133" t="str" cm="1">
        <f t="array" ref="D133">IF(C133=0,INDEX(D$10:D$97,B$36+1-B133),INDEX(I$41:I$1016,C133))</f>
        <v>BOL Platz 4 Rang 1</v>
      </c>
      <c r="E133" t="str" cm="1">
        <f t="array" ref="E133">IF(C133=0,INDEX(E$10:E$113,B$36+1-B133),INDEX(N$41:N$1016,C133))</f>
        <v>TV Altenstadt</v>
      </c>
      <c r="F133">
        <f t="shared" si="19"/>
        <v>86</v>
      </c>
      <c r="G133">
        <f t="shared" si="20"/>
        <v>-8</v>
      </c>
      <c r="H133">
        <f t="shared" si="22"/>
        <v>93</v>
      </c>
      <c r="I133" t="str">
        <f t="shared" si="23"/>
        <v>BOL Platz 3 Rang 1</v>
      </c>
      <c r="J133" t="s">
        <v>5</v>
      </c>
      <c r="K133">
        <f t="shared" si="24"/>
        <v>3</v>
      </c>
      <c r="L133">
        <f t="shared" si="25"/>
        <v>1</v>
      </c>
      <c r="M133">
        <f>VLOOKUP(H133+2,HVW!U$3:V$171,2,FALSE)</f>
        <v>149</v>
      </c>
      <c r="N133" t="str" cm="1">
        <f t="array" ref="N133">INDEX(HVW!E$3:E$950,M133)</f>
        <v>HK Ostdorf/Geislingen</v>
      </c>
    </row>
    <row r="134" spans="2:14" x14ac:dyDescent="0.35">
      <c r="B134">
        <f t="shared" si="21"/>
        <v>94</v>
      </c>
      <c r="C134">
        <f t="shared" si="18"/>
        <v>101</v>
      </c>
      <c r="D134" t="str" cm="1">
        <f t="array" ref="D134">IF(C134=0,INDEX(D$10:D$97,B$36+1-B134),INDEX(I$41:I$1016,C134))</f>
        <v>BOL Platz 4 Rang 2</v>
      </c>
      <c r="E134" t="str" cm="1">
        <f t="array" ref="E134">IF(C134=0,INDEX(E$10:E$113,B$36+1-B134),INDEX(N$41:N$1016,C134))</f>
        <v>Hbi Weilimdorf/Feuerbach</v>
      </c>
      <c r="F134">
        <f t="shared" si="19"/>
        <v>87</v>
      </c>
      <c r="G134">
        <f t="shared" si="20"/>
        <v>-8</v>
      </c>
      <c r="H134">
        <f t="shared" si="22"/>
        <v>94</v>
      </c>
      <c r="I134" t="str">
        <f t="shared" si="23"/>
        <v>BOL Platz 3 Rang 2</v>
      </c>
      <c r="J134" t="s">
        <v>5</v>
      </c>
      <c r="K134">
        <f t="shared" si="24"/>
        <v>3</v>
      </c>
      <c r="L134">
        <f t="shared" si="25"/>
        <v>2</v>
      </c>
      <c r="M134">
        <f>VLOOKUP(H134+2,HVW!U$3:V$171,2,FALSE)</f>
        <v>113</v>
      </c>
      <c r="N134" t="str" cm="1">
        <f t="array" ref="N134">INDEX(HVW!E$3:E$950,M134)</f>
        <v>HT Uhingen-Holzhausen</v>
      </c>
    </row>
    <row r="135" spans="2:14" x14ac:dyDescent="0.35">
      <c r="B135">
        <f t="shared" si="21"/>
        <v>95</v>
      </c>
      <c r="C135">
        <f t="shared" si="18"/>
        <v>102</v>
      </c>
      <c r="D135" t="str" cm="1">
        <f t="array" ref="D135">IF(C135=0,INDEX(D$10:D$97,B$36+1-B135),INDEX(I$41:I$1016,C135))</f>
        <v>BOL Platz 4 Rang 3</v>
      </c>
      <c r="E135" t="str" cm="1">
        <f t="array" ref="E135">IF(C135=0,INDEX(E$10:E$113,B$36+1-B135),INDEX(N$41:N$1016,C135))</f>
        <v>TSV Weilheim</v>
      </c>
      <c r="F135">
        <f t="shared" si="19"/>
        <v>88</v>
      </c>
      <c r="G135">
        <f t="shared" si="20"/>
        <v>-8</v>
      </c>
      <c r="H135">
        <f t="shared" si="22"/>
        <v>95</v>
      </c>
      <c r="I135" t="str">
        <f t="shared" si="23"/>
        <v>BOL Platz 3 Rang 3</v>
      </c>
      <c r="J135" t="s">
        <v>5</v>
      </c>
      <c r="K135">
        <f t="shared" si="24"/>
        <v>3</v>
      </c>
      <c r="L135">
        <f t="shared" si="25"/>
        <v>3</v>
      </c>
      <c r="M135">
        <f>VLOOKUP(H135+2,HVW!U$3:V$171,2,FALSE)</f>
        <v>161</v>
      </c>
      <c r="N135" t="str" cm="1">
        <f t="array" ref="N135">INDEX(HVW!E$3:E$950,M135)</f>
        <v>TV Weingarten Handball</v>
      </c>
    </row>
    <row r="136" spans="2:14" x14ac:dyDescent="0.35">
      <c r="B136">
        <f t="shared" si="21"/>
        <v>96</v>
      </c>
      <c r="C136">
        <f t="shared" si="18"/>
        <v>103</v>
      </c>
      <c r="D136" t="str" cm="1">
        <f t="array" ref="D136">IF(C136=0,INDEX(D$10:D$97,B$36+1-B136),INDEX(I$41:I$1016,C136))</f>
        <v>BOL Platz 4 Rang 4</v>
      </c>
      <c r="E136" t="str" cm="1">
        <f t="array" ref="E136">IF(C136=0,INDEX(E$10:E$113,B$36+1-B136),INDEX(N$41:N$1016,C136))</f>
        <v>Spvgg Renningen</v>
      </c>
      <c r="F136">
        <f t="shared" si="19"/>
        <v>89</v>
      </c>
      <c r="G136">
        <f t="shared" si="20"/>
        <v>-8</v>
      </c>
      <c r="H136">
        <f t="shared" si="22"/>
        <v>96</v>
      </c>
      <c r="I136" t="str">
        <f t="shared" si="23"/>
        <v>BOL Platz 3 Rang 4</v>
      </c>
      <c r="J136" t="s">
        <v>5</v>
      </c>
      <c r="K136">
        <f t="shared" si="24"/>
        <v>3</v>
      </c>
      <c r="L136">
        <f t="shared" si="25"/>
        <v>4</v>
      </c>
      <c r="M136">
        <f>VLOOKUP(H136+2,HVW!U$3:V$171,2,FALSE)</f>
        <v>125</v>
      </c>
      <c r="N136" t="str" cm="1">
        <f t="array" ref="N136">INDEX(HVW!E$3:E$950,M136)</f>
        <v>Kuchen-Gingen-Süssen Handball</v>
      </c>
    </row>
    <row r="137" spans="2:14" x14ac:dyDescent="0.35">
      <c r="B137">
        <f t="shared" si="21"/>
        <v>97</v>
      </c>
      <c r="C137">
        <f t="shared" ref="C137:C164" si="26">IF(B137&lt;=B$36,0,VLOOKUP(B137,$F$41:$H$168,3,FALSE))</f>
        <v>104</v>
      </c>
      <c r="D137" t="str" cm="1">
        <f t="array" ref="D137">IF(C137=0,INDEX(D$10:D$97,B$36+1-B137),INDEX(I$41:I$1016,C137))</f>
        <v>BOL Platz 4 Rang 5</v>
      </c>
      <c r="E137" t="str" cm="1">
        <f t="array" ref="E137">IF(C137=0,INDEX(E$10:E$113,B$36+1-B137),INDEX(N$41:N$1016,C137))</f>
        <v>TSV Lindau</v>
      </c>
      <c r="F137">
        <f t="shared" ref="F137:F164" si="27">H137+G137+B$36</f>
        <v>90</v>
      </c>
      <c r="G137">
        <f t="shared" ref="G137:G164" si="28">VLOOKUP(H137,I$28:J$36,2,TRUE)</f>
        <v>-8</v>
      </c>
      <c r="H137">
        <f t="shared" si="22"/>
        <v>97</v>
      </c>
      <c r="I137" t="str">
        <f t="shared" si="23"/>
        <v>BOL Platz 3 Rang 5</v>
      </c>
      <c r="J137" t="s">
        <v>5</v>
      </c>
      <c r="K137">
        <f t="shared" si="24"/>
        <v>3</v>
      </c>
      <c r="L137">
        <f t="shared" si="25"/>
        <v>5</v>
      </c>
      <c r="M137">
        <f>VLOOKUP(H137+2,HVW!U$3:V$171,2,FALSE)</f>
        <v>102</v>
      </c>
      <c r="N137" t="str" cm="1">
        <f t="array" ref="N137">INDEX(HVW!E$3:E$950,M137)</f>
        <v>SV Remshalden 2</v>
      </c>
    </row>
    <row r="138" spans="2:14" x14ac:dyDescent="0.35">
      <c r="B138">
        <f t="shared" ref="B138:B164" si="29">1+B137</f>
        <v>98</v>
      </c>
      <c r="C138">
        <f t="shared" si="26"/>
        <v>105</v>
      </c>
      <c r="D138" t="str" cm="1">
        <f t="array" ref="D138">IF(C138=0,INDEX(D$10:D$97,B$36+1-B138),INDEX(I$41:I$1016,C138))</f>
        <v>BOL Platz 4 Rang 6</v>
      </c>
      <c r="E138" t="str" cm="1">
        <f t="array" ref="E138">IF(C138=0,INDEX(E$10:E$113,B$36+1-B138),INDEX(N$41:N$1016,C138))</f>
        <v>HSG Hossingen-Meßstetten</v>
      </c>
      <c r="F138">
        <f t="shared" si="27"/>
        <v>91</v>
      </c>
      <c r="G138">
        <f t="shared" si="28"/>
        <v>-8</v>
      </c>
      <c r="H138">
        <f t="shared" ref="H138:H164" si="30">1+H137</f>
        <v>98</v>
      </c>
      <c r="I138" t="str">
        <f t="shared" si="23"/>
        <v>BOL Platz 3 Rang 6</v>
      </c>
      <c r="J138" t="s">
        <v>5</v>
      </c>
      <c r="K138">
        <f t="shared" si="24"/>
        <v>3</v>
      </c>
      <c r="L138">
        <f t="shared" si="25"/>
        <v>6</v>
      </c>
      <c r="M138">
        <f>VLOOKUP(H138+2,HVW!U$3:V$171,2,FALSE)</f>
        <v>137</v>
      </c>
      <c r="N138" t="str" cm="1">
        <f t="array" ref="N138">INDEX(HVW!E$3:E$950,M138)</f>
        <v>SG Tübingen</v>
      </c>
    </row>
    <row r="139" spans="2:14" x14ac:dyDescent="0.35">
      <c r="B139">
        <f t="shared" si="29"/>
        <v>99</v>
      </c>
      <c r="C139">
        <f t="shared" si="26"/>
        <v>106</v>
      </c>
      <c r="D139" t="str" cm="1">
        <f t="array" ref="D139">IF(C139=0,INDEX(D$10:D$97,B$36+1-B139),INDEX(I$41:I$1016,C139))</f>
        <v>BOL Platz 4 Rang 7</v>
      </c>
      <c r="E139" t="str" cm="1">
        <f t="array" ref="E139">IF(C139=0,INDEX(E$10:E$113,B$36+1-B139),INDEX(N$41:N$1016,C139))</f>
        <v>HSG Heilbronn</v>
      </c>
      <c r="F139">
        <f t="shared" si="27"/>
        <v>92</v>
      </c>
      <c r="G139">
        <f t="shared" si="28"/>
        <v>-8</v>
      </c>
      <c r="H139">
        <f t="shared" si="30"/>
        <v>99</v>
      </c>
      <c r="I139" t="str">
        <f t="shared" si="23"/>
        <v>BOL Platz 3 Rang 7</v>
      </c>
      <c r="J139" t="s">
        <v>5</v>
      </c>
      <c r="K139">
        <f t="shared" si="24"/>
        <v>3</v>
      </c>
      <c r="L139">
        <f t="shared" si="25"/>
        <v>7</v>
      </c>
      <c r="M139">
        <f>VLOOKUP(H139+2,HVW!U$3:V$171,2,FALSE)</f>
        <v>81</v>
      </c>
      <c r="N139" t="str" cm="1">
        <f t="array" ref="N139">INDEX(HVW!E$3:E$950,M139)</f>
        <v>SG Schozach-Bottwartal 2</v>
      </c>
    </row>
    <row r="140" spans="2:14" x14ac:dyDescent="0.35">
      <c r="B140">
        <f t="shared" si="29"/>
        <v>100</v>
      </c>
      <c r="C140">
        <f t="shared" si="26"/>
        <v>107</v>
      </c>
      <c r="D140" t="str" cm="1">
        <f t="array" ref="D140">IF(C140=0,INDEX(D$10:D$97,B$36+1-B140),INDEX(I$41:I$1016,C140))</f>
        <v>BOL Platz 4 Rang 8</v>
      </c>
      <c r="E140" t="str" cm="1">
        <f t="array" ref="E140">IF(C140=0,INDEX(E$10:E$113,B$36+1-B140),INDEX(N$41:N$1016,C140))</f>
        <v>HSG Strohgäu</v>
      </c>
      <c r="F140">
        <f t="shared" si="27"/>
        <v>93</v>
      </c>
      <c r="G140">
        <f t="shared" si="28"/>
        <v>-8</v>
      </c>
      <c r="H140">
        <f t="shared" si="30"/>
        <v>100</v>
      </c>
      <c r="I140" t="str">
        <f t="shared" si="23"/>
        <v>BOL Platz 4 Rang 1</v>
      </c>
      <c r="J140" t="s">
        <v>5</v>
      </c>
      <c r="K140">
        <v>4</v>
      </c>
      <c r="L140">
        <v>1</v>
      </c>
      <c r="M140">
        <f>VLOOKUP(H140+2,HVW!U$3:V$171,2,FALSE)</f>
        <v>126</v>
      </c>
      <c r="N140" t="str" cm="1">
        <f t="array" ref="N140">INDEX(HVW!E$3:E$950,M140)</f>
        <v>TV Altenstadt</v>
      </c>
    </row>
    <row r="141" spans="2:14" x14ac:dyDescent="0.35">
      <c r="B141">
        <f t="shared" si="29"/>
        <v>101</v>
      </c>
      <c r="C141">
        <f t="shared" si="26"/>
        <v>108</v>
      </c>
      <c r="D141" t="str" cm="1">
        <f t="array" ref="D141">IF(C141=0,INDEX(D$10:D$97,B$36+1-B141),INDEX(I$41:I$1016,C141))</f>
        <v>BOL Platz 5 Rang 1</v>
      </c>
      <c r="E141" t="str" cm="1">
        <f t="array" ref="E141">IF(C141=0,INDEX(E$10:E$113,B$36+1-B141),INDEX(N$41:N$1016,C141))</f>
        <v>HSG Bargau/Bettringen</v>
      </c>
      <c r="F141">
        <f t="shared" si="27"/>
        <v>94</v>
      </c>
      <c r="G141">
        <f t="shared" si="28"/>
        <v>-8</v>
      </c>
      <c r="H141">
        <f t="shared" si="30"/>
        <v>101</v>
      </c>
      <c r="I141" t="str">
        <f t="shared" si="23"/>
        <v>BOL Platz 4 Rang 2</v>
      </c>
      <c r="J141" t="s">
        <v>5</v>
      </c>
      <c r="K141">
        <f t="shared" si="24"/>
        <v>4</v>
      </c>
      <c r="L141">
        <f>L134</f>
        <v>2</v>
      </c>
      <c r="M141">
        <f>VLOOKUP(H141+2,HVW!U$3:V$171,2,FALSE)</f>
        <v>103</v>
      </c>
      <c r="N141" t="str" cm="1">
        <f t="array" ref="N141">INDEX(HVW!E$3:E$950,M141)</f>
        <v>Hbi Weilimdorf/Feuerbach</v>
      </c>
    </row>
    <row r="142" spans="2:14" x14ac:dyDescent="0.35">
      <c r="B142">
        <f t="shared" si="29"/>
        <v>102</v>
      </c>
      <c r="C142">
        <f t="shared" si="26"/>
        <v>109</v>
      </c>
      <c r="D142" t="str" cm="1">
        <f t="array" ref="D142">IF(C142=0,INDEX(D$10:D$97,B$36+1-B142),INDEX(I$41:I$1016,C142))</f>
        <v>BOL Platz 5 Rang 2</v>
      </c>
      <c r="E142" t="str" cm="1">
        <f t="array" ref="E142">IF(C142=0,INDEX(E$10:E$113,B$36+1-B142),INDEX(N$41:N$1016,C142))</f>
        <v>VfH 87 Schwenningen</v>
      </c>
      <c r="F142">
        <f t="shared" si="27"/>
        <v>95</v>
      </c>
      <c r="G142">
        <f t="shared" si="28"/>
        <v>-8</v>
      </c>
      <c r="H142">
        <f t="shared" si="30"/>
        <v>102</v>
      </c>
      <c r="I142" t="str">
        <f t="shared" si="23"/>
        <v>BOL Platz 4 Rang 3</v>
      </c>
      <c r="J142" t="s">
        <v>5</v>
      </c>
      <c r="K142">
        <f t="shared" si="24"/>
        <v>4</v>
      </c>
      <c r="L142">
        <f t="shared" ref="L142:L164" si="31">L135</f>
        <v>3</v>
      </c>
      <c r="M142">
        <f>VLOOKUP(H142+2,HVW!U$3:V$171,2,FALSE)</f>
        <v>114</v>
      </c>
      <c r="N142" t="str" cm="1">
        <f t="array" ref="N142">INDEX(HVW!E$3:E$950,M142)</f>
        <v>TSV Weilheim</v>
      </c>
    </row>
    <row r="143" spans="2:14" x14ac:dyDescent="0.35">
      <c r="B143">
        <f t="shared" si="29"/>
        <v>103</v>
      </c>
      <c r="C143">
        <f t="shared" si="26"/>
        <v>110</v>
      </c>
      <c r="D143" t="str" cm="1">
        <f t="array" ref="D143">IF(C143=0,INDEX(D$10:D$97,B$36+1-B143),INDEX(I$41:I$1016,C143))</f>
        <v>BOL Platz 5 Rang 3</v>
      </c>
      <c r="E143" t="str" cm="1">
        <f t="array" ref="E143">IF(C143=0,INDEX(E$10:E$113,B$36+1-B143),INDEX(N$41:N$1016,C143))</f>
        <v>TSV Schmiden 1902 2</v>
      </c>
      <c r="F143">
        <f t="shared" si="27"/>
        <v>96</v>
      </c>
      <c r="G143">
        <f t="shared" si="28"/>
        <v>-8</v>
      </c>
      <c r="H143">
        <f t="shared" si="30"/>
        <v>103</v>
      </c>
      <c r="I143" t="str">
        <f t="shared" si="23"/>
        <v>BOL Platz 4 Rang 4</v>
      </c>
      <c r="J143" t="s">
        <v>5</v>
      </c>
      <c r="K143">
        <f t="shared" si="24"/>
        <v>4</v>
      </c>
      <c r="L143">
        <f t="shared" si="31"/>
        <v>4</v>
      </c>
      <c r="M143">
        <f>VLOOKUP(H143+2,HVW!U$3:V$171,2,FALSE)</f>
        <v>138</v>
      </c>
      <c r="N143" t="str" cm="1">
        <f t="array" ref="N143">INDEX(HVW!E$3:E$950,M143)</f>
        <v>Spvgg Renningen</v>
      </c>
    </row>
    <row r="144" spans="2:14" x14ac:dyDescent="0.35">
      <c r="B144">
        <f t="shared" si="29"/>
        <v>104</v>
      </c>
      <c r="C144">
        <f t="shared" si="26"/>
        <v>111</v>
      </c>
      <c r="D144" t="str" cm="1">
        <f t="array" ref="D144">IF(C144=0,INDEX(D$10:D$97,B$36+1-B144),INDEX(I$41:I$1016,C144))</f>
        <v>BOL Platz 5 Rang 4</v>
      </c>
      <c r="E144" t="str" cm="1">
        <f t="array" ref="E144">IF(C144=0,INDEX(E$10:E$113,B$36+1-B144),INDEX(N$41:N$1016,C144))</f>
        <v>Bregenz Handball 2</v>
      </c>
      <c r="F144">
        <f t="shared" si="27"/>
        <v>97</v>
      </c>
      <c r="G144">
        <f t="shared" si="28"/>
        <v>-8</v>
      </c>
      <c r="H144">
        <f t="shared" si="30"/>
        <v>104</v>
      </c>
      <c r="I144" t="str">
        <f t="shared" si="23"/>
        <v>BOL Platz 4 Rang 5</v>
      </c>
      <c r="J144" t="s">
        <v>5</v>
      </c>
      <c r="K144">
        <f t="shared" si="24"/>
        <v>4</v>
      </c>
      <c r="L144">
        <f t="shared" si="31"/>
        <v>5</v>
      </c>
      <c r="M144">
        <f>VLOOKUP(H144+2,HVW!U$3:V$171,2,FALSE)</f>
        <v>162</v>
      </c>
      <c r="N144" t="str" cm="1">
        <f t="array" ref="N144">INDEX(HVW!E$3:E$950,M144)</f>
        <v>TSV Lindau</v>
      </c>
    </row>
    <row r="145" spans="2:14" x14ac:dyDescent="0.35">
      <c r="B145">
        <f t="shared" si="29"/>
        <v>105</v>
      </c>
      <c r="C145">
        <f t="shared" si="26"/>
        <v>112</v>
      </c>
      <c r="D145" t="str" cm="1">
        <f t="array" ref="D145">IF(C145=0,INDEX(D$10:D$97,B$36+1-B145),INDEX(I$41:I$1016,C145))</f>
        <v>BOL Platz 5 Rang 5</v>
      </c>
      <c r="E145" t="str" cm="1">
        <f t="array" ref="E145">IF(C145=0,INDEX(E$10:E$113,B$36+1-B145),INDEX(N$41:N$1016,C145))</f>
        <v>TSV Grabenstetten 1913</v>
      </c>
      <c r="F145">
        <f t="shared" si="27"/>
        <v>98</v>
      </c>
      <c r="G145">
        <f t="shared" si="28"/>
        <v>-8</v>
      </c>
      <c r="H145">
        <f t="shared" si="30"/>
        <v>105</v>
      </c>
      <c r="I145" t="str">
        <f t="shared" si="23"/>
        <v>BOL Platz 4 Rang 6</v>
      </c>
      <c r="J145" t="s">
        <v>5</v>
      </c>
      <c r="K145">
        <f t="shared" si="24"/>
        <v>4</v>
      </c>
      <c r="L145">
        <f t="shared" si="31"/>
        <v>6</v>
      </c>
      <c r="M145">
        <f>VLOOKUP(H145+2,HVW!U$3:V$171,2,FALSE)</f>
        <v>150</v>
      </c>
      <c r="N145" t="str" cm="1">
        <f t="array" ref="N145">INDEX(HVW!E$3:E$950,M145)</f>
        <v>HSG Hossingen-Meßstetten</v>
      </c>
    </row>
    <row r="146" spans="2:14" x14ac:dyDescent="0.35">
      <c r="B146">
        <f t="shared" si="29"/>
        <v>106</v>
      </c>
      <c r="C146">
        <f t="shared" si="26"/>
        <v>113</v>
      </c>
      <c r="D146" t="str" cm="1">
        <f t="array" ref="D146">IF(C146=0,INDEX(D$10:D$97,B$36+1-B146),INDEX(I$41:I$1016,C146))</f>
        <v>BOL Platz 5 Rang 6</v>
      </c>
      <c r="E146" t="str" cm="1">
        <f t="array" ref="E146">IF(C146=0,INDEX(E$10:E$113,B$36+1-B146),INDEX(N$41:N$1016,C146))</f>
        <v>TSV Bönnigheim 2</v>
      </c>
      <c r="F146">
        <f t="shared" si="27"/>
        <v>99</v>
      </c>
      <c r="G146">
        <f t="shared" si="28"/>
        <v>-8</v>
      </c>
      <c r="H146">
        <f t="shared" si="30"/>
        <v>106</v>
      </c>
      <c r="I146" t="str">
        <f t="shared" si="23"/>
        <v>BOL Platz 4 Rang 7</v>
      </c>
      <c r="J146" t="s">
        <v>5</v>
      </c>
      <c r="K146">
        <f t="shared" si="24"/>
        <v>4</v>
      </c>
      <c r="L146">
        <f t="shared" si="31"/>
        <v>7</v>
      </c>
      <c r="M146">
        <f>VLOOKUP(H146+2,HVW!U$3:V$171,2,FALSE)</f>
        <v>82</v>
      </c>
      <c r="N146" t="str" cm="1">
        <f t="array" ref="N146">INDEX(HVW!E$3:E$950,M146)</f>
        <v>HSG Heilbronn</v>
      </c>
    </row>
    <row r="147" spans="2:14" x14ac:dyDescent="0.35">
      <c r="B147">
        <f t="shared" si="29"/>
        <v>107</v>
      </c>
      <c r="C147">
        <f t="shared" si="26"/>
        <v>114</v>
      </c>
      <c r="D147" t="str" cm="1">
        <f t="array" ref="D147">IF(C147=0,INDEX(D$10:D$97,B$36+1-B147),INDEX(I$41:I$1016,C147))</f>
        <v>BOL Platz 5 Rang 7</v>
      </c>
      <c r="E147" t="str" cm="1">
        <f t="array" ref="E147">IF(C147=0,INDEX(E$10:E$113,B$36+1-B147),INDEX(N$41:N$1016,C147))</f>
        <v>TV Großengstingen</v>
      </c>
      <c r="F147">
        <f t="shared" si="27"/>
        <v>100</v>
      </c>
      <c r="G147">
        <f t="shared" si="28"/>
        <v>-8</v>
      </c>
      <c r="H147">
        <f t="shared" si="30"/>
        <v>107</v>
      </c>
      <c r="I147" t="str">
        <f t="shared" si="23"/>
        <v>BOL Platz 4 Rang 8</v>
      </c>
      <c r="J147" t="s">
        <v>5</v>
      </c>
      <c r="K147">
        <f t="shared" si="24"/>
        <v>4</v>
      </c>
      <c r="L147">
        <v>8</v>
      </c>
      <c r="M147">
        <f>VLOOKUP(H147+2,HVW!U$3:V$171,2,FALSE)</f>
        <v>92</v>
      </c>
      <c r="N147" t="str" cm="1">
        <f t="array" ref="N147">INDEX(HVW!E$3:E$950,M147)</f>
        <v>HSG Strohgäu</v>
      </c>
    </row>
    <row r="148" spans="2:14" x14ac:dyDescent="0.35">
      <c r="B148">
        <f t="shared" si="29"/>
        <v>108</v>
      </c>
      <c r="C148">
        <f t="shared" si="26"/>
        <v>115</v>
      </c>
      <c r="D148" t="str" cm="1">
        <f t="array" ref="D148">IF(C148=0,INDEX(D$10:D$97,B$36+1-B148),INDEX(I$41:I$1016,C148))</f>
        <v>BOL Platz 5 Rang 8</v>
      </c>
      <c r="E148" t="str" cm="1">
        <f t="array" ref="E148">IF(C148=0,INDEX(E$10:E$113,B$36+1-B148),INDEX(N$41:N$1016,C148))</f>
        <v>SV Germania Obrigheim</v>
      </c>
      <c r="F148">
        <f t="shared" si="27"/>
        <v>101</v>
      </c>
      <c r="G148">
        <f t="shared" si="28"/>
        <v>-8</v>
      </c>
      <c r="H148">
        <f t="shared" si="30"/>
        <v>108</v>
      </c>
      <c r="I148" t="str">
        <f t="shared" si="23"/>
        <v>BOL Platz 5 Rang 1</v>
      </c>
      <c r="J148" t="s">
        <v>5</v>
      </c>
      <c r="K148">
        <f t="shared" si="24"/>
        <v>5</v>
      </c>
      <c r="L148">
        <f>L140</f>
        <v>1</v>
      </c>
      <c r="M148">
        <f>VLOOKUP(H148+2,HVW!U$3:V$171,2,FALSE)</f>
        <v>127</v>
      </c>
      <c r="N148" t="str" cm="1">
        <f t="array" ref="N148">INDEX(HVW!E$3:E$950,M148)</f>
        <v>HSG Bargau/Bettringen</v>
      </c>
    </row>
    <row r="149" spans="2:14" x14ac:dyDescent="0.35">
      <c r="B149">
        <f t="shared" si="29"/>
        <v>109</v>
      </c>
      <c r="C149">
        <f t="shared" si="26"/>
        <v>116</v>
      </c>
      <c r="D149" t="str" cm="1">
        <f t="array" ref="D149">IF(C149=0,INDEX(D$10:D$97,B$36+1-B149),INDEX(I$41:I$1016,C149))</f>
        <v>BOL Platz 6 Rang 1</v>
      </c>
      <c r="E149" t="str" cm="1">
        <f t="array" ref="E149">IF(C149=0,INDEX(E$10:E$113,B$36+1-B149),INDEX(N$41:N$1016,C149))</f>
        <v>HSG Oberer Neckar</v>
      </c>
      <c r="F149">
        <f t="shared" si="27"/>
        <v>102</v>
      </c>
      <c r="G149">
        <f t="shared" si="28"/>
        <v>-8</v>
      </c>
      <c r="H149">
        <f t="shared" si="30"/>
        <v>109</v>
      </c>
      <c r="I149" t="str">
        <f t="shared" si="23"/>
        <v>BOL Platz 5 Rang 2</v>
      </c>
      <c r="J149" t="s">
        <v>5</v>
      </c>
      <c r="K149">
        <f t="shared" si="24"/>
        <v>5</v>
      </c>
      <c r="L149">
        <f t="shared" ref="L149:L164" si="32">L141</f>
        <v>2</v>
      </c>
      <c r="M149">
        <f>VLOOKUP(H149+2,HVW!U$3:V$171,2,FALSE)</f>
        <v>151</v>
      </c>
      <c r="N149" t="str" cm="1">
        <f t="array" ref="N149">INDEX(HVW!E$3:E$950,M149)</f>
        <v>VfH 87 Schwenningen</v>
      </c>
    </row>
    <row r="150" spans="2:14" x14ac:dyDescent="0.35">
      <c r="B150">
        <f t="shared" si="29"/>
        <v>110</v>
      </c>
      <c r="C150">
        <f t="shared" si="26"/>
        <v>117</v>
      </c>
      <c r="D150" t="str" cm="1">
        <f t="array" ref="D150">IF(C150=0,INDEX(D$10:D$97,B$36+1-B150),INDEX(I$41:I$1016,C150))</f>
        <v>BOL Platz 6 Rang 2</v>
      </c>
      <c r="E150" t="str" cm="1">
        <f t="array" ref="E150">IF(C150=0,INDEX(E$10:E$113,B$36+1-B150),INDEX(N$41:N$1016,C150))</f>
        <v>TSV Denkendorf 2</v>
      </c>
      <c r="F150">
        <f t="shared" si="27"/>
        <v>103</v>
      </c>
      <c r="G150">
        <f t="shared" si="28"/>
        <v>-8</v>
      </c>
      <c r="H150">
        <f t="shared" si="30"/>
        <v>110</v>
      </c>
      <c r="I150" t="str">
        <f t="shared" si="23"/>
        <v>BOL Platz 5 Rang 3</v>
      </c>
      <c r="J150" t="s">
        <v>5</v>
      </c>
      <c r="K150">
        <f t="shared" si="24"/>
        <v>5</v>
      </c>
      <c r="L150">
        <f t="shared" si="32"/>
        <v>3</v>
      </c>
      <c r="M150">
        <f>VLOOKUP(H150+2,HVW!U$3:V$171,2,FALSE)</f>
        <v>104</v>
      </c>
      <c r="N150" t="str" cm="1">
        <f t="array" ref="N150">INDEX(HVW!E$3:E$950,M150)</f>
        <v>TSV Schmiden 1902 2</v>
      </c>
    </row>
    <row r="151" spans="2:14" x14ac:dyDescent="0.35">
      <c r="B151">
        <f t="shared" si="29"/>
        <v>111</v>
      </c>
      <c r="C151">
        <f t="shared" si="26"/>
        <v>118</v>
      </c>
      <c r="D151" t="str" cm="1">
        <f t="array" ref="D151">IF(C151=0,INDEX(D$10:D$97,B$36+1-B151),INDEX(I$41:I$1016,C151))</f>
        <v>BOL Platz 6 Rang 3</v>
      </c>
      <c r="E151" t="str" cm="1">
        <f t="array" ref="E151">IF(C151=0,INDEX(E$10:E$113,B$36+1-B151),INDEX(N$41:N$1016,C151))</f>
        <v>TSV Altensteig 2</v>
      </c>
      <c r="F151">
        <f t="shared" si="27"/>
        <v>104</v>
      </c>
      <c r="G151">
        <f t="shared" si="28"/>
        <v>-8</v>
      </c>
      <c r="H151">
        <f t="shared" si="30"/>
        <v>111</v>
      </c>
      <c r="I151" t="str">
        <f t="shared" si="23"/>
        <v>BOL Platz 5 Rang 4</v>
      </c>
      <c r="J151" t="s">
        <v>5</v>
      </c>
      <c r="K151">
        <f t="shared" si="24"/>
        <v>5</v>
      </c>
      <c r="L151">
        <f t="shared" si="32"/>
        <v>4</v>
      </c>
      <c r="M151">
        <f>VLOOKUP(H151+2,HVW!U$3:V$171,2,FALSE)</f>
        <v>163</v>
      </c>
      <c r="N151" t="str" cm="1">
        <f t="array" ref="N151">INDEX(HVW!E$3:E$950,M151)</f>
        <v>Bregenz Handball 2</v>
      </c>
    </row>
    <row r="152" spans="2:14" x14ac:dyDescent="0.35">
      <c r="B152">
        <f t="shared" si="29"/>
        <v>112</v>
      </c>
      <c r="C152">
        <f t="shared" si="26"/>
        <v>119</v>
      </c>
      <c r="D152" t="str" cm="1">
        <f t="array" ref="D152">IF(C152=0,INDEX(D$10:D$97,B$36+1-B152),INDEX(I$41:I$1016,C152))</f>
        <v>BOL Platz 6 Rang 4</v>
      </c>
      <c r="E152" t="str" cm="1">
        <f t="array" ref="E152">IF(C152=0,INDEX(E$10:E$113,B$36+1-B152),INDEX(N$41:N$1016,C152))</f>
        <v>SG Hofen/Hüttlingen 2</v>
      </c>
      <c r="F152">
        <f t="shared" si="27"/>
        <v>105</v>
      </c>
      <c r="G152">
        <f t="shared" si="28"/>
        <v>-8</v>
      </c>
      <c r="H152">
        <f t="shared" si="30"/>
        <v>112</v>
      </c>
      <c r="I152" t="str">
        <f t="shared" si="23"/>
        <v>BOL Platz 5 Rang 5</v>
      </c>
      <c r="J152" t="s">
        <v>5</v>
      </c>
      <c r="K152">
        <f t="shared" si="24"/>
        <v>5</v>
      </c>
      <c r="L152">
        <f t="shared" si="32"/>
        <v>5</v>
      </c>
      <c r="M152">
        <f>VLOOKUP(H152+2,HVW!U$3:V$171,2,FALSE)</f>
        <v>115</v>
      </c>
      <c r="N152" t="str" cm="1">
        <f t="array" ref="N152">INDEX(HVW!E$3:E$950,M152)</f>
        <v>TSV Grabenstetten 1913</v>
      </c>
    </row>
    <row r="153" spans="2:14" x14ac:dyDescent="0.35">
      <c r="B153">
        <f t="shared" si="29"/>
        <v>113</v>
      </c>
      <c r="C153">
        <f t="shared" si="26"/>
        <v>120</v>
      </c>
      <c r="D153" t="str" cm="1">
        <f t="array" ref="D153">IF(C153=0,INDEX(D$10:D$97,B$36+1-B153),INDEX(I$41:I$1016,C153))</f>
        <v>BOL Platz 6 Rang 5</v>
      </c>
      <c r="E153" t="str" cm="1">
        <f t="array" ref="E153">IF(C153=0,INDEX(E$10:E$113,B$36+1-B153),INDEX(N$41:N$1016,C153))</f>
        <v>HSG Marbach-Rielingshausen</v>
      </c>
      <c r="F153">
        <f t="shared" si="27"/>
        <v>106</v>
      </c>
      <c r="G153">
        <f t="shared" si="28"/>
        <v>-8</v>
      </c>
      <c r="H153">
        <f t="shared" si="30"/>
        <v>113</v>
      </c>
      <c r="I153" t="str">
        <f t="shared" si="23"/>
        <v>BOL Platz 5 Rang 6</v>
      </c>
      <c r="J153" t="s">
        <v>5</v>
      </c>
      <c r="K153">
        <f t="shared" si="24"/>
        <v>5</v>
      </c>
      <c r="L153">
        <f t="shared" si="32"/>
        <v>6</v>
      </c>
      <c r="M153">
        <f>VLOOKUP(H153+2,HVW!U$3:V$171,2,FALSE)</f>
        <v>93</v>
      </c>
      <c r="N153" t="str" cm="1">
        <f t="array" ref="N153">INDEX(HVW!E$3:E$950,M153)</f>
        <v>TSV Bönnigheim 2</v>
      </c>
    </row>
    <row r="154" spans="2:14" x14ac:dyDescent="0.35">
      <c r="B154">
        <f t="shared" si="29"/>
        <v>114</v>
      </c>
      <c r="C154">
        <f t="shared" si="26"/>
        <v>121</v>
      </c>
      <c r="D154" t="str" cm="1">
        <f t="array" ref="D154">IF(C154=0,INDEX(D$10:D$97,B$36+1-B154),INDEX(I$41:I$1016,C154))</f>
        <v>BOL Platz 6 Rang 6</v>
      </c>
      <c r="E154" t="str" cm="1">
        <f t="array" ref="E154">IF(C154=0,INDEX(E$10:E$113,B$36+1-B154),INDEX(N$41:N$1016,C154))</f>
        <v>TSB 1847 Ravensburg</v>
      </c>
      <c r="F154">
        <f t="shared" si="27"/>
        <v>107</v>
      </c>
      <c r="G154">
        <f t="shared" si="28"/>
        <v>-8</v>
      </c>
      <c r="H154">
        <f t="shared" si="30"/>
        <v>114</v>
      </c>
      <c r="I154" t="str">
        <f t="shared" si="23"/>
        <v>BOL Platz 5 Rang 7</v>
      </c>
      <c r="J154" t="s">
        <v>5</v>
      </c>
      <c r="K154">
        <f t="shared" si="24"/>
        <v>5</v>
      </c>
      <c r="L154">
        <f t="shared" si="32"/>
        <v>7</v>
      </c>
      <c r="M154">
        <f>VLOOKUP(H154+2,HVW!U$3:V$171,2,FALSE)</f>
        <v>139</v>
      </c>
      <c r="N154" t="str" cm="1">
        <f t="array" ref="N154">INDEX(HVW!E$3:E$950,M154)</f>
        <v>TV Großengstingen</v>
      </c>
    </row>
    <row r="155" spans="2:14" x14ac:dyDescent="0.35">
      <c r="B155">
        <f t="shared" si="29"/>
        <v>115</v>
      </c>
      <c r="C155">
        <f t="shared" si="26"/>
        <v>122</v>
      </c>
      <c r="D155" t="str" cm="1">
        <f t="array" ref="D155">IF(C155=0,INDEX(D$10:D$97,B$36+1-B155),INDEX(I$41:I$1016,C155))</f>
        <v>BOL Platz 6 Rang 7</v>
      </c>
      <c r="E155" t="str" cm="1">
        <f t="array" ref="E155">IF(C155=0,INDEX(E$10:E$113,B$36+1-B155),INDEX(N$41:N$1016,C155))</f>
        <v>HSG Kochertürn/Stein</v>
      </c>
      <c r="F155">
        <f t="shared" si="27"/>
        <v>108</v>
      </c>
      <c r="G155">
        <f t="shared" si="28"/>
        <v>-8</v>
      </c>
      <c r="H155">
        <f t="shared" si="30"/>
        <v>115</v>
      </c>
      <c r="I155" t="str">
        <f t="shared" si="23"/>
        <v>BOL Platz 5 Rang 8</v>
      </c>
      <c r="J155" t="s">
        <v>5</v>
      </c>
      <c r="K155">
        <f t="shared" si="24"/>
        <v>5</v>
      </c>
      <c r="L155">
        <f t="shared" si="32"/>
        <v>8</v>
      </c>
      <c r="M155">
        <f>VLOOKUP(H155+2,HVW!U$3:V$171,2,FALSE)</f>
        <v>83</v>
      </c>
      <c r="N155" t="str" cm="1">
        <f t="array" ref="N155">INDEX(HVW!E$3:E$950,M155)</f>
        <v>SV Germania Obrigheim</v>
      </c>
    </row>
    <row r="156" spans="2:14" x14ac:dyDescent="0.35">
      <c r="B156">
        <f t="shared" si="29"/>
        <v>116</v>
      </c>
      <c r="C156">
        <f t="shared" si="26"/>
        <v>123</v>
      </c>
      <c r="D156" t="str" cm="1">
        <f t="array" ref="D156">IF(C156=0,INDEX(D$10:D$97,B$36+1-B156),INDEX(I$41:I$1016,C156))</f>
        <v>BOL Platz 6 Rang 8</v>
      </c>
      <c r="E156" t="str" cm="1">
        <f t="array" ref="E156">IF(C156=0,INDEX(E$10:E$113,B$36+1-B156),INDEX(N$41:N$1016,C156))</f>
        <v>HWB Handball Winterlingen-Bitz</v>
      </c>
      <c r="F156">
        <f t="shared" si="27"/>
        <v>109</v>
      </c>
      <c r="G156">
        <f t="shared" si="28"/>
        <v>-8</v>
      </c>
      <c r="H156">
        <f t="shared" si="30"/>
        <v>116</v>
      </c>
      <c r="I156" t="str">
        <f t="shared" si="23"/>
        <v>BOL Platz 6 Rang 1</v>
      </c>
      <c r="J156" t="s">
        <v>5</v>
      </c>
      <c r="K156">
        <f t="shared" si="24"/>
        <v>6</v>
      </c>
      <c r="L156">
        <f t="shared" si="32"/>
        <v>1</v>
      </c>
      <c r="M156">
        <f>VLOOKUP(H156+2,HVW!U$3:V$171,2,FALSE)</f>
        <v>105</v>
      </c>
      <c r="N156" t="str" cm="1">
        <f t="array" ref="N156">INDEX(HVW!E$3:E$950,M156)</f>
        <v>HSG Oberer Neckar</v>
      </c>
    </row>
    <row r="157" spans="2:14" x14ac:dyDescent="0.35">
      <c r="B157">
        <f t="shared" si="29"/>
        <v>117</v>
      </c>
      <c r="C157">
        <f t="shared" si="26"/>
        <v>124</v>
      </c>
      <c r="D157" t="str" cm="1">
        <f t="array" ref="D157">IF(C157=0,INDEX(D$10:D$97,B$36+1-B157),INDEX(I$41:I$1016,C157))</f>
        <v>BOL Platz 7 Rang 1</v>
      </c>
      <c r="E157" t="str" cm="1">
        <f t="array" ref="E157">IF(C157=0,INDEX(E$10:E$113,B$36+1-B157),INDEX(N$41:N$1016,C157))</f>
        <v>SV Magstadt</v>
      </c>
      <c r="F157">
        <f t="shared" si="27"/>
        <v>110</v>
      </c>
      <c r="G157">
        <f t="shared" si="28"/>
        <v>-8</v>
      </c>
      <c r="H157">
        <f t="shared" si="30"/>
        <v>117</v>
      </c>
      <c r="I157" t="str">
        <f t="shared" si="23"/>
        <v>BOL Platz 6 Rang 2</v>
      </c>
      <c r="J157" t="s">
        <v>5</v>
      </c>
      <c r="K157">
        <f t="shared" si="24"/>
        <v>6</v>
      </c>
      <c r="L157">
        <f t="shared" si="32"/>
        <v>2</v>
      </c>
      <c r="M157">
        <f>VLOOKUP(H157+2,HVW!U$3:V$171,2,FALSE)</f>
        <v>116</v>
      </c>
      <c r="N157" t="str" cm="1">
        <f t="array" ref="N157">INDEX(HVW!E$3:E$950,M157)</f>
        <v>TSV Denkendorf 2</v>
      </c>
    </row>
    <row r="158" spans="2:14" x14ac:dyDescent="0.35">
      <c r="B158">
        <f t="shared" si="29"/>
        <v>118</v>
      </c>
      <c r="C158" t="e">
        <f t="shared" si="26"/>
        <v>#N/A</v>
      </c>
      <c r="D158" t="e" cm="1">
        <f t="array" ref="D158">IF(C158=0,INDEX(D$10:D$97,B$36+1-B158),INDEX(I$41:I$1016,C158))</f>
        <v>#N/A</v>
      </c>
      <c r="E158" t="e" cm="1">
        <f t="array" ref="E158">IF(C158=0,INDEX(E$10:E$113,B$36+1-B158),INDEX(N$41:N$1016,C158))</f>
        <v>#N/A</v>
      </c>
      <c r="F158">
        <f t="shared" si="27"/>
        <v>111</v>
      </c>
      <c r="G158">
        <f t="shared" si="28"/>
        <v>-8</v>
      </c>
      <c r="H158">
        <f t="shared" si="30"/>
        <v>118</v>
      </c>
      <c r="I158" t="str">
        <f t="shared" si="23"/>
        <v>BOL Platz 6 Rang 3</v>
      </c>
      <c r="J158" t="s">
        <v>5</v>
      </c>
      <c r="K158">
        <f t="shared" si="24"/>
        <v>6</v>
      </c>
      <c r="L158">
        <f t="shared" si="32"/>
        <v>3</v>
      </c>
      <c r="M158">
        <f>VLOOKUP(H158+2,HVW!U$3:V$171,2,FALSE)</f>
        <v>140</v>
      </c>
      <c r="N158" t="str" cm="1">
        <f t="array" ref="N158">INDEX(HVW!E$3:E$950,M158)</f>
        <v>TSV Altensteig 2</v>
      </c>
    </row>
    <row r="159" spans="2:14" x14ac:dyDescent="0.35">
      <c r="B159">
        <f t="shared" si="29"/>
        <v>119</v>
      </c>
      <c r="C159" t="e">
        <f t="shared" si="26"/>
        <v>#N/A</v>
      </c>
      <c r="D159" t="e" cm="1">
        <f t="array" ref="D159">IF(C159=0,INDEX(D$10:D$97,B$36+1-B159),INDEX(I$41:I$1016,C159))</f>
        <v>#N/A</v>
      </c>
      <c r="E159" t="e" cm="1">
        <f t="array" ref="E159">IF(C159=0,INDEX(E$10:E$113,B$36+1-B159),INDEX(N$41:N$1016,C159))</f>
        <v>#N/A</v>
      </c>
      <c r="F159">
        <f t="shared" si="27"/>
        <v>112</v>
      </c>
      <c r="G159">
        <f t="shared" si="28"/>
        <v>-8</v>
      </c>
      <c r="H159">
        <f t="shared" si="30"/>
        <v>119</v>
      </c>
      <c r="I159" t="str">
        <f t="shared" si="23"/>
        <v>BOL Platz 6 Rang 4</v>
      </c>
      <c r="J159" t="s">
        <v>5</v>
      </c>
      <c r="K159">
        <f t="shared" si="24"/>
        <v>6</v>
      </c>
      <c r="L159">
        <f t="shared" si="32"/>
        <v>4</v>
      </c>
      <c r="M159">
        <f>VLOOKUP(H159+2,HVW!U$3:V$171,2,FALSE)</f>
        <v>128</v>
      </c>
      <c r="N159" t="str" cm="1">
        <f t="array" ref="N159">INDEX(HVW!E$3:E$950,M159)</f>
        <v>SG Hofen/Hüttlingen 2</v>
      </c>
    </row>
    <row r="160" spans="2:14" x14ac:dyDescent="0.35">
      <c r="B160">
        <f t="shared" si="29"/>
        <v>120</v>
      </c>
      <c r="C160" t="e">
        <f t="shared" si="26"/>
        <v>#N/A</v>
      </c>
      <c r="D160" t="e" cm="1">
        <f t="array" ref="D160">IF(C160=0,INDEX(D$10:D$97,B$36+1-B160),INDEX(I$41:I$1016,C160))</f>
        <v>#N/A</v>
      </c>
      <c r="E160" t="e" cm="1">
        <f t="array" ref="E160">IF(C160=0,INDEX(E$10:E$113,B$36+1-B160),INDEX(N$41:N$1016,C160))</f>
        <v>#N/A</v>
      </c>
      <c r="F160">
        <f t="shared" si="27"/>
        <v>113</v>
      </c>
      <c r="G160">
        <f t="shared" si="28"/>
        <v>-8</v>
      </c>
      <c r="H160">
        <f t="shared" si="30"/>
        <v>120</v>
      </c>
      <c r="I160" t="str">
        <f t="shared" si="23"/>
        <v>BOL Platz 6 Rang 5</v>
      </c>
      <c r="J160" t="s">
        <v>5</v>
      </c>
      <c r="K160">
        <f t="shared" si="24"/>
        <v>6</v>
      </c>
      <c r="L160">
        <f t="shared" si="32"/>
        <v>5</v>
      </c>
      <c r="M160">
        <f>VLOOKUP(H160+2,HVW!U$3:V$171,2,FALSE)</f>
        <v>94</v>
      </c>
      <c r="N160" t="str" cm="1">
        <f t="array" ref="N160">INDEX(HVW!E$3:E$950,M160)</f>
        <v>HSG Marbach-Rielingshausen</v>
      </c>
    </row>
    <row r="161" spans="2:14" x14ac:dyDescent="0.35">
      <c r="B161">
        <f t="shared" si="29"/>
        <v>121</v>
      </c>
      <c r="C161" t="e">
        <f t="shared" si="26"/>
        <v>#N/A</v>
      </c>
      <c r="D161" t="e" cm="1">
        <f t="array" ref="D161">IF(C161=0,INDEX(D$10:D$97,B$36+1-B161),INDEX(I$41:I$1016,C161))</f>
        <v>#N/A</v>
      </c>
      <c r="E161" t="e" cm="1">
        <f t="array" ref="E161">IF(C161=0,INDEX(E$10:E$113,B$36+1-B161),INDEX(N$41:N$1016,C161))</f>
        <v>#N/A</v>
      </c>
      <c r="F161">
        <f t="shared" si="27"/>
        <v>114</v>
      </c>
      <c r="G161">
        <f t="shared" si="28"/>
        <v>-8</v>
      </c>
      <c r="H161">
        <f t="shared" si="30"/>
        <v>121</v>
      </c>
      <c r="I161" t="str">
        <f t="shared" si="23"/>
        <v>BOL Platz 6 Rang 6</v>
      </c>
      <c r="J161" t="s">
        <v>5</v>
      </c>
      <c r="K161">
        <f t="shared" si="24"/>
        <v>6</v>
      </c>
      <c r="L161">
        <f t="shared" si="32"/>
        <v>6</v>
      </c>
      <c r="M161">
        <f>VLOOKUP(H161+2,HVW!U$3:V$171,2,FALSE)</f>
        <v>164</v>
      </c>
      <c r="N161" t="str" cm="1">
        <f t="array" ref="N161">INDEX(HVW!E$3:E$950,M161)</f>
        <v>TSB 1847 Ravensburg</v>
      </c>
    </row>
    <row r="162" spans="2:14" x14ac:dyDescent="0.35">
      <c r="B162">
        <f t="shared" si="29"/>
        <v>122</v>
      </c>
      <c r="C162" t="e">
        <f t="shared" si="26"/>
        <v>#N/A</v>
      </c>
      <c r="D162" t="e" cm="1">
        <f t="array" ref="D162">IF(C162=0,INDEX(D$10:D$97,B$36+1-B162),INDEX(I$41:I$1016,C162))</f>
        <v>#N/A</v>
      </c>
      <c r="E162" t="e" cm="1">
        <f t="array" ref="E162">IF(C162=0,INDEX(E$10:E$113,B$36+1-B162),INDEX(N$41:N$1016,C162))</f>
        <v>#N/A</v>
      </c>
      <c r="F162">
        <f t="shared" si="27"/>
        <v>115</v>
      </c>
      <c r="G162">
        <f t="shared" si="28"/>
        <v>-8</v>
      </c>
      <c r="H162">
        <f t="shared" si="30"/>
        <v>122</v>
      </c>
      <c r="I162" t="str">
        <f t="shared" si="23"/>
        <v>BOL Platz 6 Rang 7</v>
      </c>
      <c r="J162" t="s">
        <v>5</v>
      </c>
      <c r="K162">
        <f t="shared" si="24"/>
        <v>6</v>
      </c>
      <c r="L162">
        <f t="shared" si="32"/>
        <v>7</v>
      </c>
      <c r="M162">
        <f>VLOOKUP(H162+2,HVW!U$3:V$171,2,FALSE)</f>
        <v>84</v>
      </c>
      <c r="N162" t="str" cm="1">
        <f t="array" ref="N162">INDEX(HVW!E$3:E$950,M162)</f>
        <v>HSG Kochertürn/Stein</v>
      </c>
    </row>
    <row r="163" spans="2:14" x14ac:dyDescent="0.35">
      <c r="B163">
        <f t="shared" si="29"/>
        <v>123</v>
      </c>
      <c r="C163" t="e">
        <f t="shared" si="26"/>
        <v>#N/A</v>
      </c>
      <c r="D163" t="e" cm="1">
        <f t="array" ref="D163">IF(C163=0,INDEX(D$10:D$97,B$36+1-B163),INDEX(I$41:I$1016,C163))</f>
        <v>#N/A</v>
      </c>
      <c r="E163" t="e" cm="1">
        <f t="array" ref="E163">IF(C163=0,INDEX(E$10:E$113,B$36+1-B163),INDEX(N$41:N$1016,C163))</f>
        <v>#N/A</v>
      </c>
      <c r="F163">
        <f t="shared" si="27"/>
        <v>116</v>
      </c>
      <c r="G163">
        <f t="shared" si="28"/>
        <v>-8</v>
      </c>
      <c r="H163">
        <f t="shared" si="30"/>
        <v>123</v>
      </c>
      <c r="I163" t="str">
        <f t="shared" si="23"/>
        <v>BOL Platz 6 Rang 8</v>
      </c>
      <c r="J163" t="s">
        <v>5</v>
      </c>
      <c r="K163">
        <f t="shared" si="24"/>
        <v>6</v>
      </c>
      <c r="L163">
        <f t="shared" si="32"/>
        <v>8</v>
      </c>
      <c r="M163">
        <f>VLOOKUP(H163+2,HVW!U$3:V$171,2,FALSE)</f>
        <v>152</v>
      </c>
      <c r="N163" t="str" cm="1">
        <f t="array" ref="N163">INDEX(HVW!E$3:E$950,M163)</f>
        <v>HWB Handball Winterlingen-Bitz</v>
      </c>
    </row>
    <row r="164" spans="2:14" x14ac:dyDescent="0.35">
      <c r="B164">
        <f t="shared" si="29"/>
        <v>124</v>
      </c>
      <c r="C164" t="e">
        <f t="shared" si="26"/>
        <v>#N/A</v>
      </c>
      <c r="D164" t="e" cm="1">
        <f t="array" ref="D164">IF(C164=0,INDEX(D$10:D$97,B$36+1-B164),INDEX(I$41:I$1016,C164))</f>
        <v>#N/A</v>
      </c>
      <c r="E164" t="e" cm="1">
        <f t="array" ref="E164">IF(C164=0,INDEX(E$10:E$113,B$36+1-B164),INDEX(N$41:N$1016,C164))</f>
        <v>#N/A</v>
      </c>
      <c r="F164">
        <f t="shared" si="27"/>
        <v>117</v>
      </c>
      <c r="G164">
        <f t="shared" si="28"/>
        <v>-8</v>
      </c>
      <c r="H164">
        <f t="shared" si="30"/>
        <v>124</v>
      </c>
      <c r="I164" t="str">
        <f t="shared" si="23"/>
        <v>BOL Platz 7 Rang 1</v>
      </c>
      <c r="J164" t="s">
        <v>5</v>
      </c>
      <c r="K164">
        <f t="shared" si="24"/>
        <v>7</v>
      </c>
      <c r="L164">
        <f t="shared" si="32"/>
        <v>1</v>
      </c>
      <c r="M164">
        <f>VLOOKUP(H164+2,HVW!U$3:V$171,2,FALSE)</f>
        <v>141</v>
      </c>
      <c r="N164" t="str" cm="1">
        <f t="array" ref="N164">INDEX(HVW!E$3:E$950,M164)</f>
        <v>SV Magstadt</v>
      </c>
    </row>
    <row r="167" spans="2:14" x14ac:dyDescent="0.35">
      <c r="B167" s="1" t="s">
        <v>56</v>
      </c>
      <c r="C167" s="1" t="s">
        <v>12</v>
      </c>
      <c r="F167" s="1" t="s">
        <v>6</v>
      </c>
      <c r="G167" s="1" t="s">
        <v>11</v>
      </c>
      <c r="H167" s="1" t="s">
        <v>349</v>
      </c>
      <c r="M167" t="s">
        <v>200</v>
      </c>
      <c r="N167" t="s">
        <v>204</v>
      </c>
    </row>
    <row r="168" spans="2:14" x14ac:dyDescent="0.35">
      <c r="B168">
        <v>1</v>
      </c>
      <c r="C168">
        <f>IF(B168&lt;=B$37,0,VLOOKUP(B168,$F$168:$H$222,3,FALSE))</f>
        <v>0</v>
      </c>
      <c r="D168" t="str" cm="1">
        <f t="array" ref="D168">IF(C168=0,INDEX(D$18:D$97,B$37+1-B168),INDEX(I$168:I$1002,C168))</f>
        <v>Absteiger RL 1</v>
      </c>
      <c r="E168" t="str" cm="1">
        <f t="array" ref="E168">IF(C168=0,INDEX(E$18:E$97,B$37+1-B168),INDEX(N$168:N$1002,C168))</f>
        <v>Saase3 Leutershausen Handball 2</v>
      </c>
      <c r="F168">
        <f t="shared" ref="F168:F199" si="33">H168+G168+B$37</f>
        <v>2</v>
      </c>
      <c r="G168">
        <v>0</v>
      </c>
      <c r="H168">
        <v>1</v>
      </c>
      <c r="I168" t="str">
        <f>J168&amp;" Platz "&amp;K168</f>
        <v>OL Platz 2</v>
      </c>
      <c r="J168" t="s">
        <v>197</v>
      </c>
      <c r="K168">
        <v>2</v>
      </c>
      <c r="M168">
        <f>VLOOKUP(H168+1,BHV!U$3:V$55,2,FALSE)</f>
        <v>2</v>
      </c>
      <c r="N168" t="str" cm="1">
        <f t="array" ref="N168">INDEX(BHV!E$3:E$572,M168)</f>
        <v>SG Pforzheim/Eutingen 2</v>
      </c>
    </row>
    <row r="169" spans="2:14" x14ac:dyDescent="0.35">
      <c r="B169">
        <f>1+B168</f>
        <v>2</v>
      </c>
      <c r="C169">
        <f t="shared" ref="C169:C221" si="34">IF(B169&lt;=B$37,0,VLOOKUP(B169,$F$168:$H$222,3,FALSE))</f>
        <v>1</v>
      </c>
      <c r="D169" t="str" cm="1">
        <f t="array" ref="D169">IF(C169=0,INDEX(D$18:D$97,B$37+1-B169),INDEX(I$168:I$1002,C169))</f>
        <v>OL Platz 2</v>
      </c>
      <c r="E169" t="str" cm="1">
        <f t="array" ref="E169">IF(C169=0,INDEX(E$18:E$97,B$37+1-B169),INDEX(N$168:N$1002,C169))</f>
        <v>SG Pforzheim/Eutingen 2</v>
      </c>
      <c r="F169">
        <f t="shared" si="33"/>
        <v>3</v>
      </c>
      <c r="G169">
        <v>0</v>
      </c>
      <c r="H169">
        <f>1+H168</f>
        <v>2</v>
      </c>
      <c r="I169" t="str">
        <f>J169&amp;" Platz "&amp;K169</f>
        <v>OL Platz 3</v>
      </c>
      <c r="J169" t="s">
        <v>197</v>
      </c>
      <c r="K169">
        <v>3</v>
      </c>
      <c r="M169">
        <f>VLOOKUP(H169+1,BHV!U$3:V$55,2,FALSE)</f>
        <v>3</v>
      </c>
      <c r="N169" t="str" cm="1">
        <f t="array" ref="N169">INDEX(BHV!E$3:E$572,M169)</f>
        <v>SG Heidelsheim/Helmsheim</v>
      </c>
    </row>
    <row r="170" spans="2:14" x14ac:dyDescent="0.35">
      <c r="B170">
        <f t="shared" ref="B170:B176" si="35">1+B169</f>
        <v>3</v>
      </c>
      <c r="C170">
        <f t="shared" si="34"/>
        <v>2</v>
      </c>
      <c r="D170" t="str" cm="1">
        <f t="array" ref="D170">IF(C170=0,INDEX(D$18:D$97,B$37+1-B170),INDEX(I$168:I$1002,C170))</f>
        <v>OL Platz 3</v>
      </c>
      <c r="E170" t="str" cm="1">
        <f t="array" ref="E170">IF(C170=0,INDEX(E$18:E$97,B$37+1-B170),INDEX(N$168:N$1002,C170))</f>
        <v>SG Heidelsheim/Helmsheim</v>
      </c>
      <c r="F170">
        <f t="shared" si="33"/>
        <v>4</v>
      </c>
      <c r="G170">
        <v>0</v>
      </c>
      <c r="H170">
        <f t="shared" ref="H170:H176" si="36">1+H169</f>
        <v>3</v>
      </c>
      <c r="I170" t="str">
        <f t="shared" ref="I170:I176" si="37">J170&amp;" Platz "&amp;K170</f>
        <v>OL Platz 4</v>
      </c>
      <c r="J170" t="s">
        <v>197</v>
      </c>
      <c r="K170">
        <v>4</v>
      </c>
      <c r="M170">
        <f>VLOOKUP(H170+1,BHV!U$3:V$55,2,FALSE)</f>
        <v>4</v>
      </c>
      <c r="N170" t="str" cm="1">
        <f t="array" ref="N170">INDEX(BHV!E$3:E$572,M170)</f>
        <v>HSG Ettlingen</v>
      </c>
    </row>
    <row r="171" spans="2:14" x14ac:dyDescent="0.35">
      <c r="B171">
        <f t="shared" si="35"/>
        <v>4</v>
      </c>
      <c r="C171">
        <f t="shared" si="34"/>
        <v>3</v>
      </c>
      <c r="D171" t="str" cm="1">
        <f t="array" ref="D171">IF(C171=0,INDEX(D$18:D$97,B$37+1-B171),INDEX(I$168:I$1002,C171))</f>
        <v>OL Platz 4</v>
      </c>
      <c r="E171" t="str" cm="1">
        <f t="array" ref="E171">IF(C171=0,INDEX(E$18:E$97,B$37+1-B171),INDEX(N$168:N$1002,C171))</f>
        <v>HSG Ettlingen</v>
      </c>
      <c r="F171">
        <f t="shared" si="33"/>
        <v>5</v>
      </c>
      <c r="G171">
        <v>0</v>
      </c>
      <c r="H171">
        <f t="shared" si="36"/>
        <v>4</v>
      </c>
      <c r="I171" t="str">
        <f t="shared" si="37"/>
        <v>OL Platz 5</v>
      </c>
      <c r="J171" t="s">
        <v>197</v>
      </c>
      <c r="K171">
        <v>5</v>
      </c>
      <c r="M171">
        <f>VLOOKUP(H171+1,BHV!U$3:V$55,2,FALSE)</f>
        <v>5</v>
      </c>
      <c r="N171" t="str" cm="1">
        <f t="array" ref="N171">INDEX(BHV!E$3:E$572,M171)</f>
        <v>TSV Amicitia 06/09 Viernheim</v>
      </c>
    </row>
    <row r="172" spans="2:14" x14ac:dyDescent="0.35">
      <c r="B172">
        <f t="shared" si="35"/>
        <v>5</v>
      </c>
      <c r="C172">
        <f t="shared" si="34"/>
        <v>4</v>
      </c>
      <c r="D172" t="str" cm="1">
        <f t="array" ref="D172">IF(C172=0,INDEX(D$18:D$97,B$37+1-B172),INDEX(I$168:I$1002,C172))</f>
        <v>OL Platz 5</v>
      </c>
      <c r="E172" t="str" cm="1">
        <f t="array" ref="E172">IF(C172=0,INDEX(E$18:E$97,B$37+1-B172),INDEX(N$168:N$1002,C172))</f>
        <v>TSV Amicitia 06/09 Viernheim</v>
      </c>
      <c r="F172">
        <f t="shared" si="33"/>
        <v>6</v>
      </c>
      <c r="G172">
        <v>0</v>
      </c>
      <c r="H172">
        <f t="shared" si="36"/>
        <v>5</v>
      </c>
      <c r="I172" t="str">
        <f t="shared" si="37"/>
        <v>OL Platz 6</v>
      </c>
      <c r="J172" t="s">
        <v>197</v>
      </c>
      <c r="K172">
        <v>6</v>
      </c>
      <c r="M172">
        <f>VLOOKUP(H172+1,BHV!U$3:V$55,2,FALSE)</f>
        <v>6</v>
      </c>
      <c r="N172" t="str" cm="1">
        <f t="array" ref="N172">INDEX(BHV!E$3:E$572,M172)</f>
        <v>TV Hardheim 1895</v>
      </c>
    </row>
    <row r="173" spans="2:14" x14ac:dyDescent="0.35">
      <c r="B173">
        <f t="shared" si="35"/>
        <v>6</v>
      </c>
      <c r="C173">
        <f t="shared" si="34"/>
        <v>5</v>
      </c>
      <c r="D173" t="str" cm="1">
        <f t="array" ref="D173">IF(C173=0,INDEX(D$18:D$97,B$37+1-B173),INDEX(I$168:I$1002,C173))</f>
        <v>OL Platz 6</v>
      </c>
      <c r="E173" t="str" cm="1">
        <f t="array" ref="E173">IF(C173=0,INDEX(E$18:E$97,B$37+1-B173),INDEX(N$168:N$1002,C173))</f>
        <v>TV Hardheim 1895</v>
      </c>
      <c r="F173">
        <f t="shared" si="33"/>
        <v>7</v>
      </c>
      <c r="G173">
        <v>0</v>
      </c>
      <c r="H173">
        <f t="shared" si="36"/>
        <v>6</v>
      </c>
      <c r="I173" t="str">
        <f t="shared" si="37"/>
        <v>OL Platz 7</v>
      </c>
      <c r="J173" t="s">
        <v>197</v>
      </c>
      <c r="K173">
        <v>7</v>
      </c>
      <c r="M173">
        <f>VLOOKUP(H173+1,BHV!U$3:V$55,2,FALSE)</f>
        <v>7</v>
      </c>
      <c r="N173" t="str" cm="1">
        <f t="array" ref="N173">INDEX(BHV!E$3:E$572,M173)</f>
        <v>Handball Wölfe Plankstadt e.V.</v>
      </c>
    </row>
    <row r="174" spans="2:14" x14ac:dyDescent="0.35">
      <c r="B174">
        <f t="shared" si="35"/>
        <v>7</v>
      </c>
      <c r="C174">
        <f t="shared" si="34"/>
        <v>6</v>
      </c>
      <c r="D174" t="str" cm="1">
        <f t="array" ref="D174">IF(C174=0,INDEX(D$18:D$97,B$37+1-B174),INDEX(I$168:I$1002,C174))</f>
        <v>OL Platz 7</v>
      </c>
      <c r="E174" t="str" cm="1">
        <f t="array" ref="E174">IF(C174=0,INDEX(E$18:E$97,B$37+1-B174),INDEX(N$168:N$1002,C174))</f>
        <v>Handball Wölfe Plankstadt e.V.</v>
      </c>
      <c r="F174">
        <f t="shared" si="33"/>
        <v>8</v>
      </c>
      <c r="G174">
        <v>0</v>
      </c>
      <c r="H174">
        <f t="shared" si="36"/>
        <v>7</v>
      </c>
      <c r="I174" t="str">
        <f t="shared" si="37"/>
        <v>OL Platz 8</v>
      </c>
      <c r="J174" t="s">
        <v>197</v>
      </c>
      <c r="K174">
        <v>8</v>
      </c>
      <c r="M174">
        <f>VLOOKUP(H174+1,BHV!U$3:V$55,2,FALSE)</f>
        <v>8</v>
      </c>
      <c r="N174" t="str" cm="1">
        <f t="array" ref="N174">INDEX(BHV!E$3:E$572,M174)</f>
        <v>TSG Wiesloch</v>
      </c>
    </row>
    <row r="175" spans="2:14" x14ac:dyDescent="0.35">
      <c r="B175">
        <f t="shared" si="35"/>
        <v>8</v>
      </c>
      <c r="C175">
        <f t="shared" si="34"/>
        <v>7</v>
      </c>
      <c r="D175" t="str" cm="1">
        <f t="array" ref="D175">IF(C175=0,INDEX(D$18:D$97,B$37+1-B175),INDEX(I$168:I$1002,C175))</f>
        <v>OL Platz 8</v>
      </c>
      <c r="E175" t="str" cm="1">
        <f t="array" ref="E175">IF(C175=0,INDEX(E$18:E$97,B$37+1-B175),INDEX(N$168:N$1002,C175))</f>
        <v>TSG Wiesloch</v>
      </c>
      <c r="F175">
        <f t="shared" si="33"/>
        <v>9</v>
      </c>
      <c r="G175">
        <v>0</v>
      </c>
      <c r="H175">
        <f t="shared" si="36"/>
        <v>8</v>
      </c>
      <c r="I175" t="str">
        <f t="shared" si="37"/>
        <v>OL Platz 9</v>
      </c>
      <c r="J175" t="s">
        <v>197</v>
      </c>
      <c r="K175">
        <v>9</v>
      </c>
      <c r="M175">
        <f>VLOOKUP(H175+1,BHV!U$3:V$55,2,FALSE)</f>
        <v>9</v>
      </c>
      <c r="N175" t="str" cm="1">
        <f t="array" ref="N175">INDEX(BHV!E$3:E$572,M175)</f>
        <v>TSV Rot-Malsch</v>
      </c>
    </row>
    <row r="176" spans="2:14" x14ac:dyDescent="0.35">
      <c r="B176">
        <f t="shared" si="35"/>
        <v>9</v>
      </c>
      <c r="C176">
        <f t="shared" si="34"/>
        <v>8</v>
      </c>
      <c r="D176" t="str" cm="1">
        <f t="array" ref="D176">IF(C176=0,INDEX(D$18:D$97,B$37+1-B176),INDEX(I$168:I$1002,C176))</f>
        <v>OL Platz 9</v>
      </c>
      <c r="E176" t="str" cm="1">
        <f t="array" ref="E176">IF(C176=0,INDEX(E$18:E$97,B$37+1-B176),INDEX(N$168:N$1002,C176))</f>
        <v>TSV Rot-Malsch</v>
      </c>
      <c r="F176">
        <f t="shared" si="33"/>
        <v>10</v>
      </c>
      <c r="G176">
        <v>0</v>
      </c>
      <c r="H176">
        <f t="shared" si="36"/>
        <v>9</v>
      </c>
      <c r="I176" t="str">
        <f t="shared" si="37"/>
        <v>OL Platz 10</v>
      </c>
      <c r="J176" t="s">
        <v>197</v>
      </c>
      <c r="K176">
        <v>10</v>
      </c>
      <c r="M176">
        <f>VLOOKUP(H176+1,BHV!U$3:V$55,2,FALSE)</f>
        <v>10</v>
      </c>
      <c r="N176" t="str" cm="1">
        <f t="array" ref="N176">INDEX(BHV!E$3:E$572,M176)</f>
        <v>HG Oftersheim/Schwetzingen 2</v>
      </c>
    </row>
    <row r="177" spans="2:14" x14ac:dyDescent="0.35">
      <c r="B177">
        <f>1+B176</f>
        <v>10</v>
      </c>
      <c r="C177">
        <f t="shared" si="34"/>
        <v>9</v>
      </c>
      <c r="D177" t="str" cm="1">
        <f t="array" ref="D177">IF(C177=0,INDEX(D$18:D$97,B$37+1-B177),INDEX(I$168:I$1002,C177))</f>
        <v>OL Platz 10</v>
      </c>
      <c r="E177" t="str" cm="1">
        <f t="array" ref="E177">IF(C177=0,INDEX(E$18:E$97,B$37+1-B177),INDEX(N$168:N$1002,C177))</f>
        <v>HG Oftersheim/Schwetzingen 2</v>
      </c>
      <c r="F177">
        <f t="shared" si="33"/>
        <v>11</v>
      </c>
      <c r="G177">
        <v>0</v>
      </c>
      <c r="H177">
        <f>1+H176</f>
        <v>10</v>
      </c>
      <c r="I177" t="str">
        <f>J177&amp;" Platz "&amp;K177</f>
        <v>OL Platz 11</v>
      </c>
      <c r="J177" t="s">
        <v>197</v>
      </c>
      <c r="K177">
        <v>11</v>
      </c>
      <c r="M177">
        <f>VLOOKUP(H177+1,BHV!U$3:V$55,2,FALSE)</f>
        <v>11</v>
      </c>
      <c r="N177" t="str" cm="1">
        <f t="array" ref="N177">INDEX(BHV!E$3:E$572,M177)</f>
        <v>TSV Knittlingen</v>
      </c>
    </row>
    <row r="178" spans="2:14" x14ac:dyDescent="0.35">
      <c r="B178">
        <f>1+B177</f>
        <v>11</v>
      </c>
      <c r="C178">
        <f t="shared" si="34"/>
        <v>10</v>
      </c>
      <c r="D178" t="str" cm="1">
        <f t="array" ref="D178">IF(C178=0,INDEX(D$18:D$97,B$37+1-B178),INDEX(I$168:I$1002,C178))</f>
        <v>OL Platz 11</v>
      </c>
      <c r="E178" t="str" cm="1">
        <f t="array" ref="E178">IF(C178=0,INDEX(E$18:E$97,B$37+1-B178),INDEX(N$168:N$1002,C178))</f>
        <v>TSV Knittlingen</v>
      </c>
      <c r="F178">
        <f t="shared" si="33"/>
        <v>12</v>
      </c>
      <c r="G178">
        <v>0</v>
      </c>
      <c r="H178">
        <f>1+H177</f>
        <v>11</v>
      </c>
      <c r="I178" t="str">
        <f>J178&amp;" Platz "&amp;K178</f>
        <v>OL Platz 12</v>
      </c>
      <c r="J178" t="s">
        <v>197</v>
      </c>
      <c r="K178">
        <v>12</v>
      </c>
      <c r="M178">
        <f>VLOOKUP(H178+1,BHV!U$3:V$55,2,FALSE)</f>
        <v>12</v>
      </c>
      <c r="N178" t="str" cm="1">
        <f t="array" ref="N178">INDEX(BHV!E$3:E$572,M178)</f>
        <v>TV Knielingen</v>
      </c>
    </row>
    <row r="179" spans="2:14" x14ac:dyDescent="0.35">
      <c r="B179">
        <f>1+B178</f>
        <v>12</v>
      </c>
      <c r="C179">
        <f t="shared" si="34"/>
        <v>11</v>
      </c>
      <c r="D179" t="str" cm="1">
        <f t="array" ref="D179">IF(C179=0,INDEX(D$18:D$97,B$37+1-B179),INDEX(I$168:I$1002,C179))</f>
        <v>OL Platz 12</v>
      </c>
      <c r="E179" t="str" cm="1">
        <f t="array" ref="E179">IF(C179=0,INDEX(E$18:E$97,B$37+1-B179),INDEX(N$168:N$1002,C179))</f>
        <v>TV Knielingen</v>
      </c>
      <c r="F179">
        <f t="shared" si="33"/>
        <v>15</v>
      </c>
      <c r="G179">
        <f>IF(B$37=0,0,3-B$37)</f>
        <v>2</v>
      </c>
      <c r="H179">
        <f>1+H178</f>
        <v>12</v>
      </c>
      <c r="I179" t="str">
        <f>J179&amp;" Platz "&amp;K179</f>
        <v>OL Platz 13</v>
      </c>
      <c r="J179" t="s">
        <v>197</v>
      </c>
      <c r="K179">
        <v>13</v>
      </c>
      <c r="M179">
        <f>VLOOKUP(H179+1,BHV!U$3:V$55,2,FALSE)</f>
        <v>13</v>
      </c>
      <c r="N179" t="str" cm="1">
        <f t="array" ref="N179">INDEX(BHV!E$3:E$572,M179)</f>
        <v>HSG Weschnitztal</v>
      </c>
    </row>
    <row r="180" spans="2:14" x14ac:dyDescent="0.35">
      <c r="B180">
        <f>1+B179</f>
        <v>13</v>
      </c>
      <c r="C180">
        <f t="shared" si="34"/>
        <v>14</v>
      </c>
      <c r="D180" t="str" cm="1">
        <f t="array" ref="D180">IF(C180=0,INDEX(D$18:D$97,B$37+1-B180),INDEX(I$168:I$1002,C180))</f>
        <v>VL Platz 1</v>
      </c>
      <c r="E180" t="str" cm="1">
        <f t="array" ref="E180">IF(C180=0,INDEX(E$18:E$97,B$37+1-B180),INDEX(N$168:N$1002,C180))</f>
        <v>TSV Handschuhsheim</v>
      </c>
      <c r="F180">
        <f t="shared" si="33"/>
        <v>16</v>
      </c>
      <c r="G180">
        <f>IF(B$37=2,1,2)</f>
        <v>2</v>
      </c>
      <c r="H180">
        <f>1+H179</f>
        <v>13</v>
      </c>
      <c r="I180" t="str">
        <f>J180&amp;" Platz "&amp;K180</f>
        <v>OL Platz 14</v>
      </c>
      <c r="J180" t="s">
        <v>197</v>
      </c>
      <c r="K180">
        <v>14</v>
      </c>
      <c r="M180">
        <f>VLOOKUP(H180+1,BHV!U$3:V$55,2,FALSE)</f>
        <v>14</v>
      </c>
      <c r="N180" t="str" cm="1">
        <f t="array" ref="N180">INDEX(BHV!E$3:E$572,M180)</f>
        <v>TV Friedrichsfeld</v>
      </c>
    </row>
    <row r="181" spans="2:14" x14ac:dyDescent="0.35">
      <c r="B181">
        <f t="shared" ref="B181:B195" si="38">1+B180</f>
        <v>14</v>
      </c>
      <c r="C181">
        <f t="shared" si="34"/>
        <v>15</v>
      </c>
      <c r="D181" t="str" cm="1">
        <f t="array" ref="D181">IF(C181=0,INDEX(D$18:D$97,B$37+1-B181),INDEX(I$168:I$1002,C181))</f>
        <v>VL Platz 2</v>
      </c>
      <c r="E181" t="str" cm="1">
        <f t="array" ref="E181">IF(C181=0,INDEX(E$18:E$97,B$37+1-B181),INDEX(N$168:N$1002,C181))</f>
        <v>TSV Birkenau</v>
      </c>
      <c r="F181">
        <f t="shared" si="33"/>
        <v>13</v>
      </c>
      <c r="G181">
        <f>IF(B37=0,-1,-2)</f>
        <v>-2</v>
      </c>
      <c r="H181">
        <f t="shared" ref="H181:H195" si="39">1+H180</f>
        <v>14</v>
      </c>
      <c r="I181" t="str">
        <f t="shared" ref="I181:I194" si="40">J181&amp;" Platz "&amp;K181</f>
        <v>VL Platz 1</v>
      </c>
      <c r="J181" t="s">
        <v>2</v>
      </c>
      <c r="K181">
        <v>1</v>
      </c>
      <c r="M181">
        <f>VLOOKUP(H181+1,BHV!U$3:V$55,2,FALSE)</f>
        <v>15</v>
      </c>
      <c r="N181" t="str" cm="1">
        <f t="array" ref="N181">INDEX(BHV!E$3:E$572,M181)</f>
        <v>TSV Handschuhsheim</v>
      </c>
    </row>
    <row r="182" spans="2:14" x14ac:dyDescent="0.35">
      <c r="B182">
        <f t="shared" si="38"/>
        <v>15</v>
      </c>
      <c r="C182">
        <f t="shared" si="34"/>
        <v>12</v>
      </c>
      <c r="D182" t="str" cm="1">
        <f t="array" ref="D182">IF(C182=0,INDEX(D$18:D$97,B$37+1-B182),INDEX(I$168:I$1002,C182))</f>
        <v>OL Platz 13</v>
      </c>
      <c r="E182" t="str" cm="1">
        <f t="array" ref="E182">IF(C182=0,INDEX(E$18:E$97,B$37+1-B182),INDEX(N$168:N$1002,C182))</f>
        <v>HSG Weschnitztal</v>
      </c>
      <c r="F182">
        <f t="shared" si="33"/>
        <v>14</v>
      </c>
      <c r="G182">
        <f>IF(B$37&lt;2,-1-B$37,0)</f>
        <v>-2</v>
      </c>
      <c r="H182">
        <f t="shared" si="39"/>
        <v>15</v>
      </c>
      <c r="I182" t="str">
        <f t="shared" si="40"/>
        <v>VL Platz 2</v>
      </c>
      <c r="J182" t="s">
        <v>2</v>
      </c>
      <c r="K182">
        <v>2</v>
      </c>
      <c r="M182">
        <f>VLOOKUP(H182+1,BHV!U$3:V$55,2,FALSE)</f>
        <v>16</v>
      </c>
      <c r="N182" t="str" cm="1">
        <f t="array" ref="N182">INDEX(BHV!E$3:E$572,M182)</f>
        <v>TSV Birkenau</v>
      </c>
    </row>
    <row r="183" spans="2:14" x14ac:dyDescent="0.35">
      <c r="B183">
        <f t="shared" si="38"/>
        <v>16</v>
      </c>
      <c r="C183">
        <f t="shared" si="34"/>
        <v>13</v>
      </c>
      <c r="D183" t="str" cm="1">
        <f t="array" ref="D183">IF(C183=0,INDEX(D$18:D$97,B$37+1-B183),INDEX(I$168:I$1002,C183))</f>
        <v>OL Platz 14</v>
      </c>
      <c r="E183" t="str" cm="1">
        <f t="array" ref="E183">IF(C183=0,INDEX(E$18:E$97,B$37+1-B183),INDEX(N$168:N$1002,C183))</f>
        <v>TV Friedrichsfeld</v>
      </c>
      <c r="F183">
        <f t="shared" si="33"/>
        <v>17</v>
      </c>
      <c r="G183">
        <v>0</v>
      </c>
      <c r="H183">
        <f t="shared" si="39"/>
        <v>16</v>
      </c>
      <c r="I183" t="str">
        <f t="shared" si="40"/>
        <v>VL Platz 3</v>
      </c>
      <c r="J183" t="s">
        <v>2</v>
      </c>
      <c r="K183">
        <v>3</v>
      </c>
      <c r="M183">
        <f>VLOOKUP(H183+1,BHV!U$3:V$55,2,FALSE)</f>
        <v>17</v>
      </c>
      <c r="N183" t="str" cm="1">
        <f t="array" ref="N183">INDEX(BHV!E$3:E$572,M183)</f>
        <v>TSV Rintheim</v>
      </c>
    </row>
    <row r="184" spans="2:14" x14ac:dyDescent="0.35">
      <c r="B184">
        <f t="shared" si="38"/>
        <v>17</v>
      </c>
      <c r="C184">
        <f t="shared" si="34"/>
        <v>16</v>
      </c>
      <c r="D184" t="str" cm="1">
        <f t="array" ref="D184">IF(C184=0,INDEX(D$18:D$97,B$37+1-B184),INDEX(I$168:I$1002,C184))</f>
        <v>VL Platz 3</v>
      </c>
      <c r="E184" t="str" cm="1">
        <f t="array" ref="E184">IF(C184=0,INDEX(E$18:E$97,B$37+1-B184),INDEX(N$168:N$1002,C184))</f>
        <v>TSV Rintheim</v>
      </c>
      <c r="F184">
        <f t="shared" si="33"/>
        <v>18</v>
      </c>
      <c r="G184">
        <v>0</v>
      </c>
      <c r="H184">
        <f t="shared" si="39"/>
        <v>17</v>
      </c>
      <c r="I184" t="str">
        <f t="shared" si="40"/>
        <v>VL Platz 4</v>
      </c>
      <c r="J184" t="s">
        <v>2</v>
      </c>
      <c r="K184">
        <v>4</v>
      </c>
      <c r="M184">
        <f>VLOOKUP(H184+1,BHV!U$3:V$55,2,FALSE)</f>
        <v>18</v>
      </c>
      <c r="N184" t="str" cm="1">
        <f t="array" ref="N184">INDEX(BHV!E$3:E$572,M184)</f>
        <v>HSG Walzbachtal</v>
      </c>
    </row>
    <row r="185" spans="2:14" x14ac:dyDescent="0.35">
      <c r="B185">
        <f t="shared" si="38"/>
        <v>18</v>
      </c>
      <c r="C185">
        <f t="shared" si="34"/>
        <v>17</v>
      </c>
      <c r="D185" t="str" cm="1">
        <f t="array" ref="D185">IF(C185=0,INDEX(D$18:D$97,B$37+1-B185),INDEX(I$168:I$1002,C185))</f>
        <v>VL Platz 4</v>
      </c>
      <c r="E185" t="str" cm="1">
        <f t="array" ref="E185">IF(C185=0,INDEX(E$18:E$97,B$37+1-B185),INDEX(N$168:N$1002,C185))</f>
        <v>HSG Walzbachtal</v>
      </c>
      <c r="F185">
        <f t="shared" si="33"/>
        <v>19</v>
      </c>
      <c r="G185">
        <v>0</v>
      </c>
      <c r="H185">
        <f t="shared" si="39"/>
        <v>18</v>
      </c>
      <c r="I185" t="str">
        <f t="shared" si="40"/>
        <v>VL Platz 5</v>
      </c>
      <c r="J185" t="s">
        <v>2</v>
      </c>
      <c r="K185">
        <v>5</v>
      </c>
      <c r="M185">
        <f>VLOOKUP(H185+1,BHV!U$3:V$55,2,FALSE)</f>
        <v>19</v>
      </c>
      <c r="N185" t="str" cm="1">
        <f t="array" ref="N185">INDEX(BHV!E$3:E$572,M185)</f>
        <v>TSV HD-Wieblingen</v>
      </c>
    </row>
    <row r="186" spans="2:14" x14ac:dyDescent="0.35">
      <c r="B186">
        <f t="shared" si="38"/>
        <v>19</v>
      </c>
      <c r="C186">
        <f t="shared" si="34"/>
        <v>18</v>
      </c>
      <c r="D186" t="str" cm="1">
        <f t="array" ref="D186">IF(C186=0,INDEX(D$18:D$97,B$37+1-B186),INDEX(I$168:I$1002,C186))</f>
        <v>VL Platz 5</v>
      </c>
      <c r="E186" t="str" cm="1">
        <f t="array" ref="E186">IF(C186=0,INDEX(E$18:E$97,B$37+1-B186),INDEX(N$168:N$1002,C186))</f>
        <v>TSV HD-Wieblingen</v>
      </c>
      <c r="F186">
        <f t="shared" si="33"/>
        <v>20</v>
      </c>
      <c r="G186">
        <v>0</v>
      </c>
      <c r="H186">
        <f t="shared" si="39"/>
        <v>19</v>
      </c>
      <c r="I186" t="str">
        <f t="shared" si="40"/>
        <v>VL Platz 6</v>
      </c>
      <c r="J186" t="s">
        <v>2</v>
      </c>
      <c r="K186">
        <v>6</v>
      </c>
      <c r="M186">
        <f>VLOOKUP(H186+1,BHV!U$3:V$55,2,FALSE)</f>
        <v>20</v>
      </c>
      <c r="N186" t="str" cm="1">
        <f t="array" ref="N186">INDEX(BHV!E$3:E$572,M186)</f>
        <v>HSG Bruchsal/Untergrombach</v>
      </c>
    </row>
    <row r="187" spans="2:14" x14ac:dyDescent="0.35">
      <c r="B187">
        <f t="shared" si="38"/>
        <v>20</v>
      </c>
      <c r="C187">
        <f t="shared" si="34"/>
        <v>19</v>
      </c>
      <c r="D187" t="str" cm="1">
        <f t="array" ref="D187">IF(C187=0,INDEX(D$18:D$97,B$37+1-B187),INDEX(I$168:I$1002,C187))</f>
        <v>VL Platz 6</v>
      </c>
      <c r="E187" t="str" cm="1">
        <f t="array" ref="E187">IF(C187=0,INDEX(E$18:E$97,B$37+1-B187),INDEX(N$168:N$1002,C187))</f>
        <v>HSG Bruchsal/Untergrombach</v>
      </c>
      <c r="F187">
        <f t="shared" si="33"/>
        <v>21</v>
      </c>
      <c r="G187">
        <v>0</v>
      </c>
      <c r="H187">
        <f t="shared" si="39"/>
        <v>20</v>
      </c>
      <c r="I187" t="str">
        <f t="shared" si="40"/>
        <v>VL Platz 7</v>
      </c>
      <c r="J187" t="s">
        <v>2</v>
      </c>
      <c r="K187">
        <v>7</v>
      </c>
      <c r="M187">
        <f>VLOOKUP(H187+1,BHV!U$3:V$55,2,FALSE)</f>
        <v>21</v>
      </c>
      <c r="N187" t="str" cm="1">
        <f t="array" ref="N187">INDEX(BHV!E$3:E$572,M187)</f>
        <v>TV Ispringen</v>
      </c>
    </row>
    <row r="188" spans="2:14" x14ac:dyDescent="0.35">
      <c r="B188">
        <f t="shared" si="38"/>
        <v>21</v>
      </c>
      <c r="C188">
        <f t="shared" si="34"/>
        <v>20</v>
      </c>
      <c r="D188" t="str" cm="1">
        <f t="array" ref="D188">IF(C188=0,INDEX(D$18:D$97,B$37+1-B188),INDEX(I$168:I$1002,C188))</f>
        <v>VL Platz 7</v>
      </c>
      <c r="E188" t="str" cm="1">
        <f t="array" ref="E188">IF(C188=0,INDEX(E$18:E$97,B$37+1-B188),INDEX(N$168:N$1002,C188))</f>
        <v>TV Ispringen</v>
      </c>
      <c r="F188">
        <f t="shared" si="33"/>
        <v>22</v>
      </c>
      <c r="G188">
        <v>0</v>
      </c>
      <c r="H188">
        <f t="shared" si="39"/>
        <v>21</v>
      </c>
      <c r="I188" t="str">
        <f t="shared" si="40"/>
        <v>VL Platz 8</v>
      </c>
      <c r="J188" t="s">
        <v>2</v>
      </c>
      <c r="K188">
        <v>8</v>
      </c>
      <c r="M188">
        <f>VLOOKUP(H188+1,BHV!U$3:V$55,2,FALSE)</f>
        <v>22</v>
      </c>
      <c r="N188" t="str" cm="1">
        <f t="array" ref="N188">INDEX(BHV!E$3:E$572,M188)</f>
        <v>TV Schriesheim</v>
      </c>
    </row>
    <row r="189" spans="2:14" x14ac:dyDescent="0.35">
      <c r="B189">
        <f t="shared" si="38"/>
        <v>22</v>
      </c>
      <c r="C189">
        <f t="shared" si="34"/>
        <v>21</v>
      </c>
      <c r="D189" t="str" cm="1">
        <f t="array" ref="D189">IF(C189=0,INDEX(D$18:D$97,B$37+1-B189),INDEX(I$168:I$1002,C189))</f>
        <v>VL Platz 8</v>
      </c>
      <c r="E189" t="str" cm="1">
        <f t="array" ref="E189">IF(C189=0,INDEX(E$18:E$97,B$37+1-B189),INDEX(N$168:N$1002,C189))</f>
        <v>TV Schriesheim</v>
      </c>
      <c r="F189">
        <f t="shared" si="33"/>
        <v>23</v>
      </c>
      <c r="G189">
        <v>0</v>
      </c>
      <c r="H189">
        <f t="shared" si="39"/>
        <v>22</v>
      </c>
      <c r="I189" t="str">
        <f t="shared" si="40"/>
        <v>VL Platz 9</v>
      </c>
      <c r="J189" t="s">
        <v>2</v>
      </c>
      <c r="K189">
        <v>9</v>
      </c>
      <c r="M189">
        <f>VLOOKUP(H189+1,BHV!U$3:V$55,2,FALSE)</f>
        <v>23</v>
      </c>
      <c r="N189" t="str" cm="1">
        <f t="array" ref="N189">INDEX(BHV!E$3:E$572,M189)</f>
        <v>TV Eppelheim</v>
      </c>
    </row>
    <row r="190" spans="2:14" x14ac:dyDescent="0.35">
      <c r="B190">
        <f t="shared" si="38"/>
        <v>23</v>
      </c>
      <c r="C190">
        <f t="shared" si="34"/>
        <v>22</v>
      </c>
      <c r="D190" t="str" cm="1">
        <f t="array" ref="D190">IF(C190=0,INDEX(D$18:D$97,B$37+1-B190),INDEX(I$168:I$1002,C190))</f>
        <v>VL Platz 9</v>
      </c>
      <c r="E190" t="str" cm="1">
        <f t="array" ref="E190">IF(C190=0,INDEX(E$18:E$97,B$37+1-B190),INDEX(N$168:N$1002,C190))</f>
        <v>TV Eppelheim</v>
      </c>
      <c r="F190">
        <f t="shared" si="33"/>
        <v>24</v>
      </c>
      <c r="G190">
        <v>0</v>
      </c>
      <c r="H190">
        <f t="shared" si="39"/>
        <v>23</v>
      </c>
      <c r="I190" t="str">
        <f t="shared" si="40"/>
        <v>VL Platz 10</v>
      </c>
      <c r="J190" t="s">
        <v>2</v>
      </c>
      <c r="K190">
        <v>10</v>
      </c>
      <c r="M190">
        <f>VLOOKUP(H190+1,BHV!U$3:V$55,2,FALSE)</f>
        <v>24</v>
      </c>
      <c r="N190" t="str" cm="1">
        <f t="array" ref="N190">INDEX(BHV!E$3:E$572,M190)</f>
        <v>HSV Hockenheim</v>
      </c>
    </row>
    <row r="191" spans="2:14" x14ac:dyDescent="0.35">
      <c r="B191">
        <f t="shared" si="38"/>
        <v>24</v>
      </c>
      <c r="C191">
        <f t="shared" si="34"/>
        <v>23</v>
      </c>
      <c r="D191" t="str" cm="1">
        <f t="array" ref="D191">IF(C191=0,INDEX(D$18:D$97,B$37+1-B191),INDEX(I$168:I$1002,C191))</f>
        <v>VL Platz 10</v>
      </c>
      <c r="E191" t="str" cm="1">
        <f t="array" ref="E191">IF(C191=0,INDEX(E$18:E$97,B$37+1-B191),INDEX(N$168:N$1002,C191))</f>
        <v>HSV Hockenheim</v>
      </c>
      <c r="F191">
        <f t="shared" si="33"/>
        <v>25</v>
      </c>
      <c r="G191">
        <v>0</v>
      </c>
      <c r="H191">
        <f t="shared" si="39"/>
        <v>24</v>
      </c>
      <c r="I191" t="str">
        <f t="shared" si="40"/>
        <v>VL Platz 11</v>
      </c>
      <c r="J191" t="s">
        <v>2</v>
      </c>
      <c r="K191">
        <v>11</v>
      </c>
      <c r="M191">
        <f>VLOOKUP(H191+1,BHV!U$3:V$55,2,FALSE)</f>
        <v>25</v>
      </c>
      <c r="N191" t="str" cm="1">
        <f t="array" ref="N191">INDEX(BHV!E$3:E$572,M191)</f>
        <v>SG Eggenstein-Leopoldshafen</v>
      </c>
    </row>
    <row r="192" spans="2:14" x14ac:dyDescent="0.35">
      <c r="B192">
        <f t="shared" si="38"/>
        <v>25</v>
      </c>
      <c r="C192">
        <f t="shared" si="34"/>
        <v>24</v>
      </c>
      <c r="D192" t="str" cm="1">
        <f t="array" ref="D192">IF(C192=0,INDEX(D$18:D$97,B$37+1-B192),INDEX(I$168:I$1002,C192))</f>
        <v>VL Platz 11</v>
      </c>
      <c r="E192" t="str" cm="1">
        <f t="array" ref="E192">IF(C192=0,INDEX(E$18:E$97,B$37+1-B192),INDEX(N$168:N$1002,C192))</f>
        <v>SG Eggenstein-Leopoldshafen</v>
      </c>
      <c r="F192">
        <f t="shared" si="33"/>
        <v>26</v>
      </c>
      <c r="G192">
        <f>IF(B$37&lt;2,0,2)</f>
        <v>0</v>
      </c>
      <c r="H192">
        <f t="shared" si="39"/>
        <v>25</v>
      </c>
      <c r="I192" t="str">
        <f t="shared" si="40"/>
        <v>VL Platz 12</v>
      </c>
      <c r="J192" t="s">
        <v>2</v>
      </c>
      <c r="K192">
        <v>12</v>
      </c>
      <c r="M192">
        <f>VLOOKUP(H192+1,BHV!U$3:V$55,2,FALSE)</f>
        <v>26</v>
      </c>
      <c r="N192" t="str" cm="1">
        <f t="array" ref="N192">INDEX(BHV!E$3:E$572,M192)</f>
        <v>Saase3 Leutershausen Handball 3</v>
      </c>
    </row>
    <row r="193" spans="2:14" x14ac:dyDescent="0.35">
      <c r="B193">
        <f t="shared" si="38"/>
        <v>26</v>
      </c>
      <c r="C193">
        <f t="shared" si="34"/>
        <v>25</v>
      </c>
      <c r="D193" t="str" cm="1">
        <f t="array" ref="D193">IF(C193=0,INDEX(D$18:D$97,B$37+1-B193),INDEX(I$168:I$1002,C193))</f>
        <v>VL Platz 12</v>
      </c>
      <c r="E193" t="str" cm="1">
        <f t="array" ref="E193">IF(C193=0,INDEX(E$18:E$97,B$37+1-B193),INDEX(N$168:N$1002,C193))</f>
        <v>Saase3 Leutershausen Handball 3</v>
      </c>
      <c r="F193">
        <f t="shared" si="33"/>
        <v>29</v>
      </c>
      <c r="G193">
        <f>IF(B$37=0,0,2)</f>
        <v>2</v>
      </c>
      <c r="H193">
        <f t="shared" si="39"/>
        <v>26</v>
      </c>
      <c r="I193" t="str">
        <f t="shared" si="40"/>
        <v>VL Platz 13</v>
      </c>
      <c r="J193" t="s">
        <v>2</v>
      </c>
      <c r="K193">
        <v>13</v>
      </c>
      <c r="M193">
        <f>VLOOKUP(H193+1,BHV!U$3:V$55,2,FALSE)</f>
        <v>27</v>
      </c>
      <c r="N193" t="str" cm="1">
        <f t="array" ref="N193">INDEX(BHV!E$3:E$572,M193)</f>
        <v>TSG Germania Dossenheim</v>
      </c>
    </row>
    <row r="194" spans="2:14" x14ac:dyDescent="0.35">
      <c r="B194">
        <f t="shared" si="38"/>
        <v>27</v>
      </c>
      <c r="C194">
        <f t="shared" si="34"/>
        <v>28</v>
      </c>
      <c r="D194" t="str" cm="1">
        <f t="array" ref="D194">IF(C194=0,INDEX(D$18:D$97,B$37+1-B194),INDEX(I$168:I$1002,C194))</f>
        <v>LL Platz 1 Rang 1</v>
      </c>
      <c r="E194" t="str" cm="1">
        <f t="array" ref="E194">IF(C194=0,INDEX(E$18:E$97,B$37+1-B194),INDEX(N$168:N$1002,C194))</f>
        <v>Turnerschaft Durlach</v>
      </c>
      <c r="F194">
        <f t="shared" si="33"/>
        <v>30</v>
      </c>
      <c r="G194">
        <v>2</v>
      </c>
      <c r="H194">
        <f t="shared" si="39"/>
        <v>27</v>
      </c>
      <c r="I194" t="str">
        <f t="shared" si="40"/>
        <v>VL Platz 14</v>
      </c>
      <c r="J194" t="s">
        <v>2</v>
      </c>
      <c r="K194">
        <v>14</v>
      </c>
      <c r="M194">
        <f>VLOOKUP(H194+1,BHV!U$3:V$55,2,FALSE)</f>
        <v>28</v>
      </c>
      <c r="N194" t="str" cm="1">
        <f t="array" ref="N194">INDEX(BHV!E$3:E$572,M194)</f>
        <v>SG Nußloch</v>
      </c>
    </row>
    <row r="195" spans="2:14" x14ac:dyDescent="0.35">
      <c r="B195">
        <f t="shared" si="38"/>
        <v>28</v>
      </c>
      <c r="C195">
        <f t="shared" si="34"/>
        <v>29</v>
      </c>
      <c r="D195" t="str" cm="1">
        <f t="array" ref="D195">IF(C195=0,INDEX(D$18:D$97,B$37+1-B195),INDEX(I$168:I$1002,C195))</f>
        <v>LL Platz 1 Rang 2</v>
      </c>
      <c r="E195" t="str" cm="1">
        <f t="array" ref="E195">IF(C195=0,INDEX(E$18:E$97,B$37+1-B195),INDEX(N$168:N$1002,C195))</f>
        <v xml:space="preserve">SG Heidelberg-Leimen </v>
      </c>
      <c r="F195">
        <f t="shared" si="33"/>
        <v>27</v>
      </c>
      <c r="G195">
        <f>-1-B$37</f>
        <v>-2</v>
      </c>
      <c r="H195">
        <f t="shared" si="39"/>
        <v>28</v>
      </c>
      <c r="I195" t="str">
        <f>J195&amp;" Platz "&amp;K195&amp;" Rang "&amp;L195</f>
        <v>LL Platz 1 Rang 1</v>
      </c>
      <c r="J195" t="s">
        <v>3</v>
      </c>
      <c r="K195">
        <v>1</v>
      </c>
      <c r="L195">
        <v>1</v>
      </c>
      <c r="M195">
        <f>VLOOKUP(H195+1,BHV!U$3:V$55,2,FALSE)</f>
        <v>29</v>
      </c>
      <c r="N195" t="str" cm="1">
        <f t="array" ref="N195">INDEX(BHV!E$3:E$572,M195)</f>
        <v>Turnerschaft Durlach</v>
      </c>
    </row>
    <row r="196" spans="2:14" x14ac:dyDescent="0.35">
      <c r="B196">
        <f t="shared" ref="B196:B221" si="41">1+B195</f>
        <v>29</v>
      </c>
      <c r="C196">
        <f t="shared" si="34"/>
        <v>26</v>
      </c>
      <c r="D196" t="str" cm="1">
        <f t="array" ref="D196">IF(C196=0,INDEX(D$18:D$97,B$37+1-B196),INDEX(I$168:I$1002,C196))</f>
        <v>VL Platz 13</v>
      </c>
      <c r="E196" t="str" cm="1">
        <f t="array" ref="E196">IF(C196=0,INDEX(E$18:E$97,B$37+1-B196),INDEX(N$168:N$1002,C196))</f>
        <v>TSG Germania Dossenheim</v>
      </c>
      <c r="F196">
        <f t="shared" si="33"/>
        <v>28</v>
      </c>
      <c r="G196">
        <f t="shared" ref="G196" si="42">-1-B$37</f>
        <v>-2</v>
      </c>
      <c r="H196">
        <f t="shared" ref="H196:H221" si="43">1+H195</f>
        <v>29</v>
      </c>
      <c r="I196" t="str">
        <f t="shared" ref="I196" si="44">J196&amp;" Platz "&amp;K196&amp;" Rang "&amp;L196</f>
        <v>LL Platz 1 Rang 2</v>
      </c>
      <c r="J196" t="s">
        <v>3</v>
      </c>
      <c r="K196">
        <v>1</v>
      </c>
      <c r="L196">
        <v>2</v>
      </c>
      <c r="M196">
        <f>VLOOKUP(H196+1,BHV!U$3:V$55,2,FALSE)</f>
        <v>41</v>
      </c>
      <c r="N196" t="str" cm="1">
        <f t="array" ref="N196">INDEX(BHV!E$3:E$572,M196)</f>
        <v xml:space="preserve">SG Heidelberg-Leimen </v>
      </c>
    </row>
    <row r="197" spans="2:14" x14ac:dyDescent="0.35">
      <c r="B197">
        <f t="shared" si="41"/>
        <v>30</v>
      </c>
      <c r="C197">
        <f t="shared" si="34"/>
        <v>27</v>
      </c>
      <c r="D197" t="str" cm="1">
        <f t="array" ref="D197">IF(C197=0,INDEX(D$18:D$97,B$37+1-B197),INDEX(I$168:I$1002,C197))</f>
        <v>VL Platz 14</v>
      </c>
      <c r="E197" t="str" cm="1">
        <f t="array" ref="E197">IF(C197=0,INDEX(E$18:E$97,B$37+1-B197),INDEX(N$168:N$1002,C197))</f>
        <v>SG Nußloch</v>
      </c>
      <c r="F197">
        <f t="shared" si="33"/>
        <v>31</v>
      </c>
      <c r="G197">
        <v>0</v>
      </c>
      <c r="H197">
        <f t="shared" si="43"/>
        <v>30</v>
      </c>
      <c r="I197" t="str">
        <f>J197&amp;" "&amp;L197&amp;" Platz "&amp;K197</f>
        <v>LL RNT Platz 2</v>
      </c>
      <c r="J197" t="s">
        <v>3</v>
      </c>
      <c r="K197" cm="1">
        <f t="array" ref="K197">INDEX(BHV!D$3:D$572,M197)</f>
        <v>2</v>
      </c>
      <c r="L197" t="str" cm="1">
        <f t="array" ref="L197">INDEX(BHV!B$3:B$572,M197)</f>
        <v>RNT</v>
      </c>
      <c r="M197">
        <f>VLOOKUP(H197+1,BHV!U$3:V$55,2,FALSE)</f>
        <v>42</v>
      </c>
      <c r="N197" t="str" cm="1">
        <f t="array" ref="N197">INDEX(BHV!E$3:E$572,M197)</f>
        <v>TV Brühl</v>
      </c>
    </row>
    <row r="198" spans="2:14" x14ac:dyDescent="0.35">
      <c r="B198">
        <f t="shared" si="41"/>
        <v>31</v>
      </c>
      <c r="C198">
        <f t="shared" si="34"/>
        <v>30</v>
      </c>
      <c r="D198" t="str" cm="1">
        <f t="array" ref="D198">IF(C198=0,INDEX(D$18:D$97,B$37+1-B198),INDEX(I$168:I$1002,C198))</f>
        <v>LL RNT Platz 2</v>
      </c>
      <c r="E198" t="str" cm="1">
        <f t="array" ref="E198">IF(C198=0,INDEX(E$18:E$97,B$37+1-B198),INDEX(N$168:N$1002,C198))</f>
        <v>TV Brühl</v>
      </c>
      <c r="F198">
        <f t="shared" si="33"/>
        <v>32</v>
      </c>
      <c r="G198">
        <v>0</v>
      </c>
      <c r="H198">
        <f t="shared" si="43"/>
        <v>31</v>
      </c>
      <c r="I198" t="str">
        <f t="shared" ref="I198:I219" si="45">J198&amp;" "&amp;L198&amp;" Platz "&amp;K198</f>
        <v>LL RNT Platz 3</v>
      </c>
      <c r="J198" t="s">
        <v>3</v>
      </c>
      <c r="K198" cm="1">
        <f t="array" ref="K198">INDEX(BHV!D$3:D$572,M198)</f>
        <v>3</v>
      </c>
      <c r="L198" t="str" cm="1">
        <f t="array" ref="L198">INDEX(BHV!B$3:B$572,M198)</f>
        <v>RNT</v>
      </c>
      <c r="M198">
        <f>VLOOKUP(H198+1,BHV!U$3:V$55,2,FALSE)</f>
        <v>43</v>
      </c>
      <c r="N198" t="str" cm="1">
        <f t="array" ref="N198">INDEX(BHV!E$3:E$572,M198)</f>
        <v>TV Hemsbach</v>
      </c>
    </row>
    <row r="199" spans="2:14" x14ac:dyDescent="0.35">
      <c r="B199">
        <f t="shared" si="41"/>
        <v>32</v>
      </c>
      <c r="C199">
        <f t="shared" si="34"/>
        <v>31</v>
      </c>
      <c r="D199" t="str" cm="1">
        <f t="array" ref="D199">IF(C199=0,INDEX(D$18:D$97,B$37+1-B199),INDEX(I$168:I$1002,C199))</f>
        <v>LL RNT Platz 3</v>
      </c>
      <c r="E199" t="str" cm="1">
        <f t="array" ref="E199">IF(C199=0,INDEX(E$18:E$97,B$37+1-B199),INDEX(N$168:N$1002,C199))</f>
        <v>TV Hemsbach</v>
      </c>
      <c r="F199">
        <f t="shared" si="33"/>
        <v>33</v>
      </c>
      <c r="G199">
        <v>0</v>
      </c>
      <c r="H199">
        <f t="shared" si="43"/>
        <v>32</v>
      </c>
      <c r="I199" t="str">
        <f t="shared" si="45"/>
        <v>LL RNT Platz 4</v>
      </c>
      <c r="J199" t="s">
        <v>3</v>
      </c>
      <c r="K199" cm="1">
        <f t="array" ref="K199">INDEX(BHV!D$3:D$572,M199)</f>
        <v>4</v>
      </c>
      <c r="L199" t="str" cm="1">
        <f t="array" ref="L199">INDEX(BHV!B$3:B$572,M199)</f>
        <v>RNT</v>
      </c>
      <c r="M199">
        <f>VLOOKUP(H199+1,BHV!U$3:V$55,2,FALSE)</f>
        <v>44</v>
      </c>
      <c r="N199" t="str" cm="1">
        <f t="array" ref="N199">INDEX(BHV!E$3:E$572,M199)</f>
        <v>TSG Ketsch</v>
      </c>
    </row>
    <row r="200" spans="2:14" x14ac:dyDescent="0.35">
      <c r="B200">
        <f t="shared" si="41"/>
        <v>33</v>
      </c>
      <c r="C200">
        <f t="shared" si="34"/>
        <v>32</v>
      </c>
      <c r="D200" t="str" cm="1">
        <f t="array" ref="D200">IF(C200=0,INDEX(D$18:D$97,B$37+1-B200),INDEX(I$168:I$1002,C200))</f>
        <v>LL RNT Platz 4</v>
      </c>
      <c r="E200" t="str" cm="1">
        <f t="array" ref="E200">IF(C200=0,INDEX(E$18:E$97,B$37+1-B200),INDEX(N$168:N$1002,C200))</f>
        <v>TSG Ketsch</v>
      </c>
      <c r="F200">
        <f t="shared" ref="F200:F218" si="46">H200+G200+B$37</f>
        <v>34</v>
      </c>
      <c r="G200">
        <v>0</v>
      </c>
      <c r="H200">
        <f t="shared" si="43"/>
        <v>33</v>
      </c>
      <c r="I200" t="str">
        <f t="shared" si="45"/>
        <v>LL AES Platz 2</v>
      </c>
      <c r="J200" t="s">
        <v>3</v>
      </c>
      <c r="K200" cm="1">
        <f t="array" ref="K200">INDEX(BHV!D$3:D$572,M200)</f>
        <v>2</v>
      </c>
      <c r="L200" t="str" cm="1">
        <f t="array" ref="L200">INDEX(BHV!B$3:B$572,M200)</f>
        <v>AES</v>
      </c>
      <c r="M200">
        <f>VLOOKUP(H200+1,BHV!U$3:V$55,2,FALSE)</f>
        <v>30</v>
      </c>
      <c r="N200" t="str" cm="1">
        <f t="array" ref="N200">INDEX(BHV!E$3:E$572,M200)</f>
        <v>SG Heidelsheim/Helmsheim 2</v>
      </c>
    </row>
    <row r="201" spans="2:14" x14ac:dyDescent="0.35">
      <c r="B201">
        <f t="shared" si="41"/>
        <v>34</v>
      </c>
      <c r="C201">
        <f t="shared" si="34"/>
        <v>33</v>
      </c>
      <c r="D201" t="str" cm="1">
        <f t="array" ref="D201">IF(C201=0,INDEX(D$18:D$97,B$37+1-B201),INDEX(I$168:I$1002,C201))</f>
        <v>LL AES Platz 2</v>
      </c>
      <c r="E201" t="str" cm="1">
        <f t="array" ref="E201">IF(C201=0,INDEX(E$18:E$97,B$37+1-B201),INDEX(N$168:N$1002,C201))</f>
        <v>SG Heidelsheim/Helmsheim 2</v>
      </c>
      <c r="F201">
        <f t="shared" si="46"/>
        <v>35</v>
      </c>
      <c r="G201">
        <v>0</v>
      </c>
      <c r="H201">
        <f t="shared" si="43"/>
        <v>34</v>
      </c>
      <c r="I201" t="str">
        <f t="shared" si="45"/>
        <v>LL AES Platz 3</v>
      </c>
      <c r="J201" t="s">
        <v>3</v>
      </c>
      <c r="K201" cm="1">
        <f t="array" ref="K201">INDEX(BHV!D$3:D$572,M201)</f>
        <v>3</v>
      </c>
      <c r="L201" t="str" cm="1">
        <f t="array" ref="L201">INDEX(BHV!B$3:B$572,M201)</f>
        <v>AES</v>
      </c>
      <c r="M201">
        <f>VLOOKUP(H201+1,BHV!U$3:V$55,2,FALSE)</f>
        <v>31</v>
      </c>
      <c r="N201" t="str" cm="1">
        <f t="array" ref="N201">INDEX(BHV!E$3:E$572,M201)</f>
        <v>SV Langensteinbach</v>
      </c>
    </row>
    <row r="202" spans="2:14" x14ac:dyDescent="0.35">
      <c r="B202">
        <f t="shared" si="41"/>
        <v>35</v>
      </c>
      <c r="C202">
        <f t="shared" si="34"/>
        <v>34</v>
      </c>
      <c r="D202" t="str" cm="1">
        <f t="array" ref="D202">IF(C202=0,INDEX(D$18:D$97,B$37+1-B202),INDEX(I$168:I$1002,C202))</f>
        <v>LL AES Platz 3</v>
      </c>
      <c r="E202" t="str" cm="1">
        <f t="array" ref="E202">IF(C202=0,INDEX(E$18:E$97,B$37+1-B202),INDEX(N$168:N$1002,C202))</f>
        <v>SV Langensteinbach</v>
      </c>
      <c r="F202">
        <f t="shared" si="46"/>
        <v>36</v>
      </c>
      <c r="G202">
        <v>0</v>
      </c>
      <c r="H202">
        <f t="shared" si="43"/>
        <v>35</v>
      </c>
      <c r="I202" t="str">
        <f t="shared" si="45"/>
        <v>LL RNT Platz 5</v>
      </c>
      <c r="J202" t="s">
        <v>3</v>
      </c>
      <c r="K202" cm="1">
        <f t="array" ref="K202">INDEX(BHV!D$3:D$572,M202)</f>
        <v>5</v>
      </c>
      <c r="L202" t="str" cm="1">
        <f t="array" ref="L202">INDEX(BHV!B$3:B$572,M202)</f>
        <v>RNT</v>
      </c>
      <c r="M202">
        <f>VLOOKUP(H202+1,BHV!U$3:V$55,2,FALSE)</f>
        <v>45</v>
      </c>
      <c r="N202" t="str" cm="1">
        <f t="array" ref="N202">INDEX(BHV!E$3:E$572,M202)</f>
        <v>TSV 1863 Buchen</v>
      </c>
    </row>
    <row r="203" spans="2:14" x14ac:dyDescent="0.35">
      <c r="B203">
        <f t="shared" si="41"/>
        <v>36</v>
      </c>
      <c r="C203">
        <f t="shared" si="34"/>
        <v>35</v>
      </c>
      <c r="D203" t="str" cm="1">
        <f t="array" ref="D203">IF(C203=0,INDEX(D$18:D$97,B$37+1-B203),INDEX(I$168:I$1002,C203))</f>
        <v>LL RNT Platz 5</v>
      </c>
      <c r="E203" t="str" cm="1">
        <f t="array" ref="E203">IF(C203=0,INDEX(E$18:E$97,B$37+1-B203),INDEX(N$168:N$1002,C203))</f>
        <v>TSV 1863 Buchen</v>
      </c>
      <c r="F203">
        <f t="shared" si="46"/>
        <v>37</v>
      </c>
      <c r="G203">
        <v>0</v>
      </c>
      <c r="H203">
        <f t="shared" si="43"/>
        <v>36</v>
      </c>
      <c r="I203" t="str">
        <f t="shared" si="45"/>
        <v>LL AES Platz 4</v>
      </c>
      <c r="J203" t="s">
        <v>3</v>
      </c>
      <c r="K203" cm="1">
        <f t="array" ref="K203">INDEX(BHV!D$3:D$572,M203)</f>
        <v>4</v>
      </c>
      <c r="L203" t="str" cm="1">
        <f t="array" ref="L203">INDEX(BHV!B$3:B$572,M203)</f>
        <v>AES</v>
      </c>
      <c r="M203">
        <f>VLOOKUP(H203+1,BHV!U$3:V$55,2,FALSE)</f>
        <v>32</v>
      </c>
      <c r="N203" t="str" cm="1">
        <f t="array" ref="N203">INDEX(BHV!E$3:E$572,M203)</f>
        <v>HC Neuenbürg 2000 2</v>
      </c>
    </row>
    <row r="204" spans="2:14" x14ac:dyDescent="0.35">
      <c r="B204">
        <f t="shared" si="41"/>
        <v>37</v>
      </c>
      <c r="C204">
        <f t="shared" si="34"/>
        <v>36</v>
      </c>
      <c r="D204" t="str" cm="1">
        <f t="array" ref="D204">IF(C204=0,INDEX(D$18:D$97,B$37+1-B204),INDEX(I$168:I$1002,C204))</f>
        <v>LL AES Platz 4</v>
      </c>
      <c r="E204" t="str" cm="1">
        <f t="array" ref="E204">IF(C204=0,INDEX(E$18:E$97,B$37+1-B204),INDEX(N$168:N$1002,C204))</f>
        <v>HC Neuenbürg 2000 2</v>
      </c>
      <c r="F204">
        <f t="shared" si="46"/>
        <v>38</v>
      </c>
      <c r="G204">
        <v>0</v>
      </c>
      <c r="H204">
        <f t="shared" si="43"/>
        <v>37</v>
      </c>
      <c r="I204" t="str">
        <f t="shared" si="45"/>
        <v>LL AES Platz 5</v>
      </c>
      <c r="J204" t="s">
        <v>3</v>
      </c>
      <c r="K204" cm="1">
        <f t="array" ref="K204">INDEX(BHV!D$3:D$572,M204)</f>
        <v>5</v>
      </c>
      <c r="L204" t="str" cm="1">
        <f t="array" ref="L204">INDEX(BHV!B$3:B$572,M204)</f>
        <v>AES</v>
      </c>
      <c r="M204">
        <f>VLOOKUP(H204+1,BHV!U$3:V$55,2,FALSE)</f>
        <v>33</v>
      </c>
      <c r="N204" t="str" cm="1">
        <f t="array" ref="N204">INDEX(BHV!E$3:E$572,M204)</f>
        <v>TV Gondelsheim</v>
      </c>
    </row>
    <row r="205" spans="2:14" x14ac:dyDescent="0.35">
      <c r="B205">
        <f t="shared" si="41"/>
        <v>38</v>
      </c>
      <c r="C205">
        <f t="shared" si="34"/>
        <v>37</v>
      </c>
      <c r="D205" t="str" cm="1">
        <f t="array" ref="D205">IF(C205=0,INDEX(D$18:D$97,B$37+1-B205),INDEX(I$168:I$1002,C205))</f>
        <v>LL AES Platz 5</v>
      </c>
      <c r="E205" t="str" cm="1">
        <f t="array" ref="E205">IF(C205=0,INDEX(E$18:E$97,B$37+1-B205),INDEX(N$168:N$1002,C205))</f>
        <v>TV Gondelsheim</v>
      </c>
      <c r="F205">
        <f t="shared" si="46"/>
        <v>39</v>
      </c>
      <c r="G205">
        <v>0</v>
      </c>
      <c r="H205">
        <f t="shared" si="43"/>
        <v>38</v>
      </c>
      <c r="I205" t="str">
        <f t="shared" si="45"/>
        <v>LL AES Platz 6</v>
      </c>
      <c r="J205" t="s">
        <v>3</v>
      </c>
      <c r="K205" cm="1">
        <f t="array" ref="K205">INDEX(BHV!D$3:D$572,M205)</f>
        <v>6</v>
      </c>
      <c r="L205" t="str" cm="1">
        <f t="array" ref="L205">INDEX(BHV!B$3:B$572,M205)</f>
        <v>AES</v>
      </c>
      <c r="M205">
        <f>VLOOKUP(H205+1,BHV!U$3:V$55,2,FALSE)</f>
        <v>34</v>
      </c>
      <c r="N205" t="str" cm="1">
        <f t="array" ref="N205">INDEX(BHV!E$3:E$572,M205)</f>
        <v>SG KIT/MTV Karlsruhe</v>
      </c>
    </row>
    <row r="206" spans="2:14" x14ac:dyDescent="0.35">
      <c r="B206">
        <f t="shared" si="41"/>
        <v>39</v>
      </c>
      <c r="C206">
        <f t="shared" si="34"/>
        <v>38</v>
      </c>
      <c r="D206" t="str" cm="1">
        <f t="array" ref="D206">IF(C206=0,INDEX(D$18:D$97,B$37+1-B206),INDEX(I$168:I$1002,C206))</f>
        <v>LL AES Platz 6</v>
      </c>
      <c r="E206" t="str" cm="1">
        <f t="array" ref="E206">IF(C206=0,INDEX(E$18:E$97,B$37+1-B206),INDEX(N$168:N$1002,C206))</f>
        <v>SG KIT/MTV Karlsruhe</v>
      </c>
      <c r="F206">
        <f t="shared" si="46"/>
        <v>40</v>
      </c>
      <c r="G206">
        <v>0</v>
      </c>
      <c r="H206">
        <f t="shared" si="43"/>
        <v>39</v>
      </c>
      <c r="I206" t="str">
        <f t="shared" si="45"/>
        <v>LL RNT Platz 6</v>
      </c>
      <c r="J206" t="s">
        <v>3</v>
      </c>
      <c r="K206" cm="1">
        <f t="array" ref="K206">INDEX(BHV!D$3:D$572,M206)</f>
        <v>6</v>
      </c>
      <c r="L206" t="str" cm="1">
        <f t="array" ref="L206">INDEX(BHV!B$3:B$572,M206)</f>
        <v>RNT</v>
      </c>
      <c r="M206">
        <f>VLOOKUP(H206+1,BHV!U$3:V$55,2,FALSE)</f>
        <v>46</v>
      </c>
      <c r="N206" t="str" cm="1">
        <f t="array" ref="N206">INDEX(BHV!E$3:E$572,M206)</f>
        <v>HSG St. Leon/Reilingen</v>
      </c>
    </row>
    <row r="207" spans="2:14" x14ac:dyDescent="0.35">
      <c r="B207">
        <f t="shared" si="41"/>
        <v>40</v>
      </c>
      <c r="C207">
        <f t="shared" si="34"/>
        <v>39</v>
      </c>
      <c r="D207" t="str" cm="1">
        <f t="array" ref="D207">IF(C207=0,INDEX(D$18:D$97,B$37+1-B207),INDEX(I$168:I$1002,C207))</f>
        <v>LL RNT Platz 6</v>
      </c>
      <c r="E207" t="str" cm="1">
        <f t="array" ref="E207">IF(C207=0,INDEX(E$18:E$97,B$37+1-B207),INDEX(N$168:N$1002,C207))</f>
        <v>HSG St. Leon/Reilingen</v>
      </c>
      <c r="F207">
        <f t="shared" si="46"/>
        <v>41</v>
      </c>
      <c r="G207">
        <v>0</v>
      </c>
      <c r="H207">
        <f t="shared" si="43"/>
        <v>40</v>
      </c>
      <c r="I207" t="str">
        <f t="shared" si="45"/>
        <v>LL AES Platz 7</v>
      </c>
      <c r="J207" t="s">
        <v>3</v>
      </c>
      <c r="K207" cm="1">
        <f t="array" ref="K207">INDEX(BHV!D$3:D$572,M207)</f>
        <v>7</v>
      </c>
      <c r="L207" t="str" cm="1">
        <f t="array" ref="L207">INDEX(BHV!B$3:B$572,M207)</f>
        <v>AES</v>
      </c>
      <c r="M207">
        <f>VLOOKUP(H207+1,BHV!U$3:V$55,2,FALSE)</f>
        <v>35</v>
      </c>
      <c r="N207" t="str" cm="1">
        <f t="array" ref="N207">INDEX(BHV!E$3:E$572,M207)</f>
        <v xml:space="preserve">SG Neuthard/Büchenau </v>
      </c>
    </row>
    <row r="208" spans="2:14" x14ac:dyDescent="0.35">
      <c r="B208">
        <f t="shared" si="41"/>
        <v>41</v>
      </c>
      <c r="C208">
        <f t="shared" si="34"/>
        <v>40</v>
      </c>
      <c r="D208" t="str" cm="1">
        <f t="array" ref="D208">IF(C208=0,INDEX(D$18:D$97,B$37+1-B208),INDEX(I$168:I$1002,C208))</f>
        <v>LL AES Platz 7</v>
      </c>
      <c r="E208" t="str" cm="1">
        <f t="array" ref="E208">IF(C208=0,INDEX(E$18:E$97,B$37+1-B208),INDEX(N$168:N$1002,C208))</f>
        <v xml:space="preserve">SG Neuthard/Büchenau </v>
      </c>
      <c r="F208">
        <f t="shared" si="46"/>
        <v>42</v>
      </c>
      <c r="G208">
        <v>0</v>
      </c>
      <c r="H208">
        <f t="shared" si="43"/>
        <v>41</v>
      </c>
      <c r="I208" t="str">
        <f t="shared" si="45"/>
        <v>LL RNT Platz 7</v>
      </c>
      <c r="J208" t="s">
        <v>3</v>
      </c>
      <c r="K208" cm="1">
        <f t="array" ref="K208">INDEX(BHV!D$3:D$572,M208)</f>
        <v>7</v>
      </c>
      <c r="L208" t="str" cm="1">
        <f t="array" ref="L208">INDEX(BHV!B$3:B$572,M208)</f>
        <v>RNT</v>
      </c>
      <c r="M208">
        <f>VLOOKUP(H208+1,BHV!U$3:V$55,2,FALSE)</f>
        <v>47</v>
      </c>
      <c r="N208" t="str" cm="1">
        <f t="array" ref="N208">INDEX(BHV!E$3:E$572,M208)</f>
        <v>HA Neckarelz</v>
      </c>
    </row>
    <row r="209" spans="2:14" x14ac:dyDescent="0.35">
      <c r="B209">
        <f t="shared" si="41"/>
        <v>42</v>
      </c>
      <c r="C209">
        <f t="shared" si="34"/>
        <v>41</v>
      </c>
      <c r="D209" t="str" cm="1">
        <f t="array" ref="D209">IF(C209=0,INDEX(D$18:D$97,B$37+1-B209),INDEX(I$168:I$1002,C209))</f>
        <v>LL RNT Platz 7</v>
      </c>
      <c r="E209" t="str" cm="1">
        <f t="array" ref="E209">IF(C209=0,INDEX(E$18:E$97,B$37+1-B209),INDEX(N$168:N$1002,C209))</f>
        <v>HA Neckarelz</v>
      </c>
      <c r="F209">
        <f t="shared" si="46"/>
        <v>43</v>
      </c>
      <c r="G209">
        <v>0</v>
      </c>
      <c r="H209">
        <f t="shared" si="43"/>
        <v>42</v>
      </c>
      <c r="I209" t="str">
        <f t="shared" si="45"/>
        <v>LL RNT Platz 8</v>
      </c>
      <c r="J209" t="s">
        <v>3</v>
      </c>
      <c r="K209" cm="1">
        <f t="array" ref="K209">INDEX(BHV!D$3:D$572,M209)</f>
        <v>8</v>
      </c>
      <c r="L209" t="str" cm="1">
        <f t="array" ref="L209">INDEX(BHV!B$3:B$572,M209)</f>
        <v>RNT</v>
      </c>
      <c r="M209">
        <f>VLOOKUP(H209+1,BHV!U$3:V$55,2,FALSE)</f>
        <v>48</v>
      </c>
      <c r="N209" t="str" cm="1">
        <f t="array" ref="N209">INDEX(BHV!E$3:E$572,M209)</f>
        <v>TG Laudenbach</v>
      </c>
    </row>
    <row r="210" spans="2:14" x14ac:dyDescent="0.35">
      <c r="B210">
        <f t="shared" si="41"/>
        <v>43</v>
      </c>
      <c r="C210">
        <f t="shared" si="34"/>
        <v>42</v>
      </c>
      <c r="D210" t="str" cm="1">
        <f t="array" ref="D210">IF(C210=0,INDEX(D$18:D$97,B$37+1-B210),INDEX(I$168:I$1002,C210))</f>
        <v>LL RNT Platz 8</v>
      </c>
      <c r="E210" t="str" cm="1">
        <f t="array" ref="E210">IF(C210=0,INDEX(E$18:E$97,B$37+1-B210),INDEX(N$168:N$1002,C210))</f>
        <v>TG Laudenbach</v>
      </c>
      <c r="F210">
        <f t="shared" si="46"/>
        <v>44</v>
      </c>
      <c r="G210">
        <v>0</v>
      </c>
      <c r="H210">
        <f t="shared" si="43"/>
        <v>43</v>
      </c>
      <c r="I210" t="str">
        <f t="shared" si="45"/>
        <v>LL AES Platz 8</v>
      </c>
      <c r="J210" t="s">
        <v>3</v>
      </c>
      <c r="K210" cm="1">
        <f t="array" ref="K210">INDEX(BHV!D$3:D$572,M210)</f>
        <v>8</v>
      </c>
      <c r="L210" t="str" cm="1">
        <f t="array" ref="L210">INDEX(BHV!B$3:B$572,M210)</f>
        <v>AES</v>
      </c>
      <c r="M210">
        <f>VLOOKUP(H210+1,BHV!U$3:V$55,2,FALSE)</f>
        <v>36</v>
      </c>
      <c r="N210" t="str" cm="1">
        <f t="array" ref="N210">INDEX(BHV!E$3:E$572,M210)</f>
        <v>Post Südstadt Karlsruhe</v>
      </c>
    </row>
    <row r="211" spans="2:14" x14ac:dyDescent="0.35">
      <c r="B211">
        <f t="shared" si="41"/>
        <v>44</v>
      </c>
      <c r="C211">
        <f t="shared" si="34"/>
        <v>43</v>
      </c>
      <c r="D211" t="str" cm="1">
        <f t="array" ref="D211">IF(C211=0,INDEX(D$18:D$97,B$37+1-B211),INDEX(I$168:I$1002,C211))</f>
        <v>LL AES Platz 8</v>
      </c>
      <c r="E211" t="str" cm="1">
        <f t="array" ref="E211">IF(C211=0,INDEX(E$18:E$97,B$37+1-B211),INDEX(N$168:N$1002,C211))</f>
        <v>Post Südstadt Karlsruhe</v>
      </c>
      <c r="F211">
        <f t="shared" si="46"/>
        <v>45</v>
      </c>
      <c r="G211">
        <v>0</v>
      </c>
      <c r="H211">
        <f t="shared" si="43"/>
        <v>44</v>
      </c>
      <c r="I211" t="str">
        <f t="shared" si="45"/>
        <v>LL RNT Platz 9</v>
      </c>
      <c r="J211" t="s">
        <v>3</v>
      </c>
      <c r="K211" cm="1">
        <f t="array" ref="K211">INDEX(BHV!D$3:D$572,M211)</f>
        <v>9</v>
      </c>
      <c r="L211" t="str" cm="1">
        <f t="array" ref="L211">INDEX(BHV!B$3:B$572,M211)</f>
        <v>RNT</v>
      </c>
      <c r="M211">
        <f>VLOOKUP(H211+1,BHV!U$3:V$55,2,FALSE)</f>
        <v>49</v>
      </c>
      <c r="N211" t="str" cm="1">
        <f t="array" ref="N211">INDEX(BHV!E$3:E$572,M211)</f>
        <v>TSV Rot-Malsch 2</v>
      </c>
    </row>
    <row r="212" spans="2:14" x14ac:dyDescent="0.35">
      <c r="B212">
        <f t="shared" si="41"/>
        <v>45</v>
      </c>
      <c r="C212">
        <f t="shared" si="34"/>
        <v>44</v>
      </c>
      <c r="D212" t="str" cm="1">
        <f t="array" ref="D212">IF(C212=0,INDEX(D$18:D$97,B$37+1-B212),INDEX(I$168:I$1002,C212))</f>
        <v>LL RNT Platz 9</v>
      </c>
      <c r="E212" t="str" cm="1">
        <f t="array" ref="E212">IF(C212=0,INDEX(E$18:E$97,B$37+1-B212),INDEX(N$168:N$1002,C212))</f>
        <v>TSV Rot-Malsch 2</v>
      </c>
      <c r="F212">
        <f t="shared" si="46"/>
        <v>46</v>
      </c>
      <c r="G212">
        <v>0</v>
      </c>
      <c r="H212">
        <f t="shared" si="43"/>
        <v>45</v>
      </c>
      <c r="I212" t="str">
        <f t="shared" si="45"/>
        <v>LL AES Platz 10</v>
      </c>
      <c r="J212" t="s">
        <v>3</v>
      </c>
      <c r="K212" cm="1">
        <f t="array" ref="K212">INDEX(BHV!D$3:D$572,M212)</f>
        <v>10</v>
      </c>
      <c r="L212" t="str" cm="1">
        <f t="array" ref="L212">INDEX(BHV!B$3:B$572,M212)</f>
        <v>AES</v>
      </c>
      <c r="M212">
        <f>VLOOKUP(H212+1,BHV!U$3:V$55,2,FALSE)</f>
        <v>38</v>
      </c>
      <c r="N212" t="str" cm="1">
        <f t="array" ref="N212">INDEX(BHV!E$3:E$572,M212)</f>
        <v>SG Sulzfeld/Bretten</v>
      </c>
    </row>
    <row r="213" spans="2:14" x14ac:dyDescent="0.35">
      <c r="B213">
        <f t="shared" si="41"/>
        <v>46</v>
      </c>
      <c r="C213">
        <f t="shared" si="34"/>
        <v>45</v>
      </c>
      <c r="D213" t="str" cm="1">
        <f t="array" ref="D213">IF(C213=0,INDEX(D$18:D$97,B$37+1-B213),INDEX(I$168:I$1002,C213))</f>
        <v>LL AES Platz 10</v>
      </c>
      <c r="E213" t="str" cm="1">
        <f t="array" ref="E213">IF(C213=0,INDEX(E$18:E$97,B$37+1-B213),INDEX(N$168:N$1002,C213))</f>
        <v>SG Sulzfeld/Bretten</v>
      </c>
      <c r="F213">
        <f t="shared" si="46"/>
        <v>47</v>
      </c>
      <c r="G213">
        <v>0</v>
      </c>
      <c r="H213">
        <f t="shared" si="43"/>
        <v>46</v>
      </c>
      <c r="I213" t="str">
        <f t="shared" si="45"/>
        <v>LL AES Platz 9</v>
      </c>
      <c r="J213" t="s">
        <v>3</v>
      </c>
      <c r="K213" cm="1">
        <f t="array" ref="K213">INDEX(BHV!D$3:D$572,M213)</f>
        <v>9</v>
      </c>
      <c r="L213" t="str" cm="1">
        <f t="array" ref="L213">INDEX(BHV!B$3:B$572,M213)</f>
        <v>AES</v>
      </c>
      <c r="M213">
        <f>VLOOKUP(H213+1,BHV!U$3:V$55,2,FALSE)</f>
        <v>37</v>
      </c>
      <c r="N213" t="str" cm="1">
        <f t="array" ref="N213">INDEX(BHV!E$3:E$572,M213)</f>
        <v>SG Stutensee-Weingarten</v>
      </c>
    </row>
    <row r="214" spans="2:14" x14ac:dyDescent="0.35">
      <c r="B214">
        <f t="shared" si="41"/>
        <v>47</v>
      </c>
      <c r="C214">
        <f t="shared" si="34"/>
        <v>46</v>
      </c>
      <c r="D214" t="str" cm="1">
        <f t="array" ref="D214">IF(C214=0,INDEX(D$18:D$97,B$37+1-B214),INDEX(I$168:I$1002,C214))</f>
        <v>LL AES Platz 9</v>
      </c>
      <c r="E214" t="str" cm="1">
        <f t="array" ref="E214">IF(C214=0,INDEX(E$18:E$97,B$37+1-B214),INDEX(N$168:N$1002,C214))</f>
        <v>SG Stutensee-Weingarten</v>
      </c>
      <c r="F214">
        <f t="shared" si="46"/>
        <v>48</v>
      </c>
      <c r="G214">
        <v>0</v>
      </c>
      <c r="H214">
        <f t="shared" si="43"/>
        <v>47</v>
      </c>
      <c r="I214" t="str">
        <f t="shared" si="45"/>
        <v>LL RNT Platz 10</v>
      </c>
      <c r="J214" t="s">
        <v>3</v>
      </c>
      <c r="K214" cm="1">
        <f t="array" ref="K214">INDEX(BHV!D$3:D$572,M214)</f>
        <v>10</v>
      </c>
      <c r="L214" t="str" cm="1">
        <f t="array" ref="L214">INDEX(BHV!B$3:B$572,M214)</f>
        <v>RNT</v>
      </c>
      <c r="M214">
        <f>VLOOKUP(H214+1,BHV!U$3:V$55,2,FALSE)</f>
        <v>50</v>
      </c>
      <c r="N214" t="str" cm="1">
        <f t="array" ref="N214">INDEX(BHV!E$3:E$572,M214)</f>
        <v>HSG Dittigheim/Tauberbischofsheim</v>
      </c>
    </row>
    <row r="215" spans="2:14" x14ac:dyDescent="0.35">
      <c r="B215">
        <f t="shared" si="41"/>
        <v>48</v>
      </c>
      <c r="C215">
        <f t="shared" si="34"/>
        <v>47</v>
      </c>
      <c r="D215" t="str" cm="1">
        <f t="array" ref="D215">IF(C215=0,INDEX(D$18:D$97,B$37+1-B215),INDEX(I$168:I$1002,C215))</f>
        <v>LL RNT Platz 10</v>
      </c>
      <c r="E215" t="str" cm="1">
        <f t="array" ref="E215">IF(C215=0,INDEX(E$18:E$97,B$37+1-B215),INDEX(N$168:N$1002,C215))</f>
        <v>HSG Dittigheim/Tauberbischofsheim</v>
      </c>
      <c r="F215">
        <f t="shared" si="46"/>
        <v>49</v>
      </c>
      <c r="G215">
        <v>0</v>
      </c>
      <c r="H215">
        <f t="shared" si="43"/>
        <v>48</v>
      </c>
      <c r="I215" t="str">
        <f t="shared" si="45"/>
        <v>LL RNT Platz 11</v>
      </c>
      <c r="J215" t="s">
        <v>3</v>
      </c>
      <c r="K215" cm="1">
        <f t="array" ref="K215">INDEX(BHV!D$3:D$572,M215)</f>
        <v>11</v>
      </c>
      <c r="L215" t="str" cm="1">
        <f t="array" ref="L215">INDEX(BHV!B$3:B$572,M215)</f>
        <v>RNT</v>
      </c>
      <c r="M215">
        <f>VLOOKUP(H215+1,BHV!U$3:V$55,2,FALSE)</f>
        <v>51</v>
      </c>
      <c r="N215" t="str" cm="1">
        <f t="array" ref="N215">INDEX(BHV!E$3:E$572,M215)</f>
        <v>HG Königshofen/Sachsenflur</v>
      </c>
    </row>
    <row r="216" spans="2:14" x14ac:dyDescent="0.35">
      <c r="B216">
        <f t="shared" si="41"/>
        <v>49</v>
      </c>
      <c r="C216">
        <f t="shared" si="34"/>
        <v>48</v>
      </c>
      <c r="D216" t="str" cm="1">
        <f t="array" ref="D216">IF(C216=0,INDEX(D$18:D$97,B$37+1-B216),INDEX(I$168:I$1002,C216))</f>
        <v>LL RNT Platz 11</v>
      </c>
      <c r="E216" t="str" cm="1">
        <f t="array" ref="E216">IF(C216=0,INDEX(E$18:E$97,B$37+1-B216),INDEX(N$168:N$1002,C216))</f>
        <v>HG Königshofen/Sachsenflur</v>
      </c>
      <c r="F216">
        <f t="shared" si="46"/>
        <v>50</v>
      </c>
      <c r="G216">
        <v>0</v>
      </c>
      <c r="H216">
        <f t="shared" si="43"/>
        <v>49</v>
      </c>
      <c r="I216" t="str">
        <f t="shared" si="45"/>
        <v>LL AES Platz 11</v>
      </c>
      <c r="J216" t="s">
        <v>3</v>
      </c>
      <c r="K216" cm="1">
        <f t="array" ref="K216">INDEX(BHV!D$3:D$572,M216)</f>
        <v>11</v>
      </c>
      <c r="L216" t="str" cm="1">
        <f t="array" ref="L216">INDEX(BHV!B$3:B$572,M216)</f>
        <v>AES</v>
      </c>
      <c r="M216">
        <f>VLOOKUP(H216+1,BHV!U$3:V$55,2,FALSE)</f>
        <v>39</v>
      </c>
      <c r="N216" t="str" cm="1">
        <f t="array" ref="N216">INDEX(BHV!E$3:E$572,M216)</f>
        <v>HSG Walzbachtal 2</v>
      </c>
    </row>
    <row r="217" spans="2:14" x14ac:dyDescent="0.35">
      <c r="B217">
        <f t="shared" si="41"/>
        <v>50</v>
      </c>
      <c r="C217">
        <f t="shared" si="34"/>
        <v>49</v>
      </c>
      <c r="D217" t="str" cm="1">
        <f t="array" ref="D217">IF(C217=0,INDEX(D$18:D$97,B$37+1-B217),INDEX(I$168:I$1002,C217))</f>
        <v>LL AES Platz 11</v>
      </c>
      <c r="E217" t="str" cm="1">
        <f t="array" ref="E217">IF(C217=0,INDEX(E$18:E$97,B$37+1-B217),INDEX(N$168:N$1002,C217))</f>
        <v>HSG Walzbachtal 2</v>
      </c>
      <c r="F217">
        <f t="shared" si="46"/>
        <v>51</v>
      </c>
      <c r="G217">
        <v>0</v>
      </c>
      <c r="H217">
        <f t="shared" si="43"/>
        <v>50</v>
      </c>
      <c r="I217" t="str">
        <f t="shared" si="45"/>
        <v>LL RNT Platz 12</v>
      </c>
      <c r="J217" t="s">
        <v>3</v>
      </c>
      <c r="K217" cm="1">
        <f t="array" ref="K217">INDEX(BHV!D$3:D$572,M217)</f>
        <v>12</v>
      </c>
      <c r="L217" t="str" cm="1">
        <f t="array" ref="L217">INDEX(BHV!B$3:B$572,M217)</f>
        <v>RNT</v>
      </c>
      <c r="M217">
        <f>VLOOKUP(H217+1,BHV!U$3:V$55,2,FALSE)</f>
        <v>52</v>
      </c>
      <c r="N217" t="str" cm="1">
        <f t="array" ref="N217">INDEX(BHV!E$3:E$572,M217)</f>
        <v>TV Mosbach</v>
      </c>
    </row>
    <row r="218" spans="2:14" x14ac:dyDescent="0.35">
      <c r="B218">
        <f t="shared" si="41"/>
        <v>51</v>
      </c>
      <c r="C218">
        <f t="shared" si="34"/>
        <v>50</v>
      </c>
      <c r="D218" t="str" cm="1">
        <f t="array" ref="D218">IF(C218=0,INDEX(D$18:D$97,B$37+1-B218),INDEX(I$168:I$1002,C218))</f>
        <v>LL RNT Platz 12</v>
      </c>
      <c r="E218" t="str" cm="1">
        <f t="array" ref="E218">IF(C218=0,INDEX(E$18:E$97,B$37+1-B218),INDEX(N$168:N$1002,C218))</f>
        <v>TV Mosbach</v>
      </c>
      <c r="F218">
        <f t="shared" si="46"/>
        <v>52</v>
      </c>
      <c r="G218">
        <v>0</v>
      </c>
      <c r="H218">
        <f t="shared" si="43"/>
        <v>51</v>
      </c>
      <c r="I218" t="str">
        <f t="shared" si="45"/>
        <v>LL AES Platz 12</v>
      </c>
      <c r="J218" t="s">
        <v>3</v>
      </c>
      <c r="K218" cm="1">
        <f t="array" ref="K218">INDEX(BHV!D$3:D$572,M218)</f>
        <v>12</v>
      </c>
      <c r="L218" t="str" cm="1">
        <f t="array" ref="L218">INDEX(BHV!B$3:B$572,M218)</f>
        <v>AES</v>
      </c>
      <c r="M218">
        <f>VLOOKUP(H218+1,BHV!U$3:V$55,2,FALSE)</f>
        <v>40</v>
      </c>
      <c r="N218" t="str" cm="1">
        <f t="array" ref="N218">INDEX(BHV!E$3:E$572,M218)</f>
        <v>SG Hambrücken/Weiher</v>
      </c>
    </row>
    <row r="219" spans="2:14" x14ac:dyDescent="0.35">
      <c r="B219">
        <f t="shared" si="41"/>
        <v>52</v>
      </c>
      <c r="C219">
        <f t="shared" si="34"/>
        <v>51</v>
      </c>
      <c r="D219" t="str" cm="1">
        <f t="array" ref="D219">IF(C219=0,INDEX(D$18:D$97,B$37+1-B219),INDEX(I$168:I$1002,C219))</f>
        <v>LL AES Platz 12</v>
      </c>
      <c r="E219" t="str" cm="1">
        <f t="array" ref="E219">IF(C219=0,INDEX(E$18:E$97,B$37+1-B219),INDEX(N$168:N$1002,C219))</f>
        <v>SG Hambrücken/Weiher</v>
      </c>
      <c r="F219">
        <f t="shared" ref="F219" si="47">H219+G219+B$37</f>
        <v>53</v>
      </c>
      <c r="G219">
        <v>0</v>
      </c>
      <c r="H219">
        <f t="shared" si="43"/>
        <v>52</v>
      </c>
      <c r="I219" t="str">
        <f t="shared" si="45"/>
        <v>LL RNT Platz 13</v>
      </c>
      <c r="J219" t="s">
        <v>3</v>
      </c>
      <c r="K219" cm="1">
        <f t="array" ref="K219">INDEX(BHV!D$3:D$572,M219)</f>
        <v>13</v>
      </c>
      <c r="L219" t="str" cm="1">
        <f t="array" ref="L219">INDEX(BHV!B$3:B$572,M219)</f>
        <v>RNT</v>
      </c>
      <c r="M219">
        <f>VLOOKUP(H219+1,BHV!U$3:V$55,2,FALSE)</f>
        <v>53</v>
      </c>
      <c r="N219" t="str" cm="1">
        <f t="array" ref="N219">INDEX(BHV!E$3:E$572,M219)</f>
        <v>HSG TSG Weinheim-TV Oberflockenbach</v>
      </c>
    </row>
    <row r="220" spans="2:14" x14ac:dyDescent="0.35">
      <c r="B220">
        <f t="shared" si="41"/>
        <v>53</v>
      </c>
      <c r="C220">
        <f t="shared" si="34"/>
        <v>52</v>
      </c>
      <c r="D220" t="str" cm="1">
        <f t="array" ref="D220">IF(C220=0,INDEX(D$18:D$97,B$37+1-B220),INDEX(I$168:I$1002,C220))</f>
        <v>LL RNT Platz 13</v>
      </c>
      <c r="E220" t="str" cm="1">
        <f t="array" ref="E220">IF(C220=0,INDEX(E$18:E$97,B$37+1-B220),INDEX(N$168:N$1002,C220))</f>
        <v>HSG TSG Weinheim-TV Oberflockenbach</v>
      </c>
      <c r="F220">
        <f t="shared" ref="F220:F221" si="48">H220+G220+B$37</f>
        <v>54</v>
      </c>
      <c r="G220">
        <v>0</v>
      </c>
      <c r="H220">
        <f t="shared" si="43"/>
        <v>53</v>
      </c>
      <c r="I220" t="e">
        <f t="shared" ref="I220:I221" si="49">J220&amp;" Platz "&amp;K220</f>
        <v>#N/A</v>
      </c>
      <c r="J220" t="s">
        <v>3</v>
      </c>
      <c r="K220" t="e" cm="1">
        <f t="array" ref="K220">INDEX(BHV!D$3:D$572,M220)</f>
        <v>#N/A</v>
      </c>
      <c r="L220" t="e" cm="1">
        <f t="array" ref="L220">INDEX(BHV!B$3:B$572,M220)</f>
        <v>#N/A</v>
      </c>
      <c r="M220" t="e">
        <f>VLOOKUP(H220+1,BHV!U$3:V$55,2,FALSE)</f>
        <v>#N/A</v>
      </c>
      <c r="N220" t="e" cm="1">
        <f t="array" ref="N220">INDEX(BHV!E$3:E$572,M220)</f>
        <v>#N/A</v>
      </c>
    </row>
    <row r="221" spans="2:14" x14ac:dyDescent="0.35">
      <c r="B221">
        <f t="shared" si="41"/>
        <v>54</v>
      </c>
      <c r="C221">
        <f t="shared" si="34"/>
        <v>53</v>
      </c>
      <c r="D221" t="e" cm="1">
        <f t="array" ref="D221">IF(C221=0,INDEX(D$18:D$97,B$37+1-B221),INDEX(I$168:I$1002,C221))</f>
        <v>#N/A</v>
      </c>
      <c r="E221" t="e" cm="1">
        <f t="array" ref="E221">IF(C221=0,INDEX(E$18:E$97,B$37+1-B221),INDEX(N$168:N$1002,C221))</f>
        <v>#N/A</v>
      </c>
      <c r="F221">
        <f t="shared" si="48"/>
        <v>55</v>
      </c>
      <c r="G221">
        <v>0</v>
      </c>
      <c r="H221">
        <f t="shared" si="43"/>
        <v>54</v>
      </c>
      <c r="I221" t="e">
        <f t="shared" si="49"/>
        <v>#N/A</v>
      </c>
      <c r="J221" t="s">
        <v>3</v>
      </c>
      <c r="K221" t="e" cm="1">
        <f t="array" ref="K221">INDEX(BHV!D$3:D$572,M221)</f>
        <v>#N/A</v>
      </c>
      <c r="L221" t="e" cm="1">
        <f t="array" ref="L221">INDEX(BHV!B$3:B$572,M221)</f>
        <v>#N/A</v>
      </c>
      <c r="M221" t="e">
        <f>VLOOKUP(H221+1,BHV!U$3:V$55,2,FALSE)</f>
        <v>#N/A</v>
      </c>
      <c r="N221" t="e" cm="1">
        <f t="array" ref="N221">INDEX(BHV!E$3:E$572,M221)</f>
        <v>#N/A</v>
      </c>
    </row>
    <row r="224" spans="2:14" x14ac:dyDescent="0.35">
      <c r="B224" s="1" t="s">
        <v>55</v>
      </c>
      <c r="C224" s="1" t="s">
        <v>12</v>
      </c>
      <c r="F224" s="1" t="s">
        <v>6</v>
      </c>
      <c r="G224" s="1" t="s">
        <v>11</v>
      </c>
      <c r="H224" s="1" t="s">
        <v>401</v>
      </c>
      <c r="M224" t="s">
        <v>200</v>
      </c>
      <c r="N224" t="s">
        <v>204</v>
      </c>
    </row>
    <row r="225" spans="2:14" x14ac:dyDescent="0.35">
      <c r="B225">
        <v>1</v>
      </c>
      <c r="C225">
        <f t="shared" ref="C225:C256" si="50">IF(B225&lt;=B$38,0,VLOOKUP(B225,$F$225:$H$269,3,FALSE))</f>
        <v>0</v>
      </c>
      <c r="D225" t="str" cm="1">
        <f t="array" ref="D225">IF(C225=0,INDEX(D$21:D$97,B$38+1-B225),INDEX(I$225:I$1002,C225))</f>
        <v>Absteiger RL 1</v>
      </c>
      <c r="E225" t="str" cm="1">
        <f t="array" ref="E225">IF(C225=0,INDEX(E$21:E$97,B$38+1-B225),INDEX(N$225:N$1002,C225))</f>
        <v>TuS Schutterwald</v>
      </c>
      <c r="F225">
        <f t="shared" ref="F225:F269" si="51">H225+G225+B$38</f>
        <v>2</v>
      </c>
      <c r="G225">
        <v>0</v>
      </c>
      <c r="H225">
        <v>1</v>
      </c>
      <c r="I225" t="str">
        <f>J225&amp;" Platz "&amp;K225</f>
        <v>OL Platz 2</v>
      </c>
      <c r="J225" t="s">
        <v>197</v>
      </c>
      <c r="K225">
        <v>2</v>
      </c>
      <c r="M225">
        <f>VLOOKUP(H225+1,SHV!U$3:V$48,2,FALSE)</f>
        <v>2</v>
      </c>
      <c r="N225" t="str" cm="1">
        <f t="array" ref="N225">INDEX(SHV!E$3:E$945,M225)</f>
        <v>HSG Konstanz 2</v>
      </c>
    </row>
    <row r="226" spans="2:14" x14ac:dyDescent="0.35">
      <c r="B226">
        <f>1+B225</f>
        <v>2</v>
      </c>
      <c r="C226">
        <f t="shared" si="50"/>
        <v>1</v>
      </c>
      <c r="D226" t="str" cm="1">
        <f t="array" ref="D226">IF(C226=0,INDEX(D$21:D$97,B$38+1-B226),INDEX(I$225:I$1002,C226))</f>
        <v>OL Platz 2</v>
      </c>
      <c r="E226" t="str" cm="1">
        <f t="array" ref="E226">IF(C226=0,INDEX(E$21:E$97,B$38+1-B226),INDEX(N$225:N$1002,C226))</f>
        <v>HSG Konstanz 2</v>
      </c>
      <c r="F226">
        <f t="shared" si="51"/>
        <v>3</v>
      </c>
      <c r="G226">
        <v>0</v>
      </c>
      <c r="H226">
        <f t="shared" ref="H226:H269" si="52">1+H225</f>
        <v>2</v>
      </c>
      <c r="I226" t="str">
        <f t="shared" ref="I226:I234" si="53">J226&amp;" Platz "&amp;K226</f>
        <v>OL Platz 3</v>
      </c>
      <c r="J226" t="s">
        <v>197</v>
      </c>
      <c r="K226">
        <v>3</v>
      </c>
      <c r="M226">
        <f>VLOOKUP(H226+1,SHV!U$3:V$49,2,FALSE)</f>
        <v>3</v>
      </c>
      <c r="N226" t="str" cm="1">
        <f t="array" ref="N226">INDEX(SHV!E$3:E$945,M226)</f>
        <v>HTV Meißenheim</v>
      </c>
    </row>
    <row r="227" spans="2:14" x14ac:dyDescent="0.35">
      <c r="B227">
        <f t="shared" ref="B227:B276" si="54">1+B226</f>
        <v>3</v>
      </c>
      <c r="C227">
        <f t="shared" si="50"/>
        <v>2</v>
      </c>
      <c r="D227" t="str" cm="1">
        <f t="array" ref="D227">IF(C227=0,INDEX(D$21:D$97,B$38+1-B227),INDEX(I$225:I$1002,C227))</f>
        <v>OL Platz 3</v>
      </c>
      <c r="E227" t="str" cm="1">
        <f t="array" ref="E227">IF(C227=0,INDEX(E$21:E$97,B$38+1-B227),INDEX(N$225:N$1002,C227))</f>
        <v>HTV Meißenheim</v>
      </c>
      <c r="F227">
        <f t="shared" si="51"/>
        <v>4</v>
      </c>
      <c r="G227">
        <v>0</v>
      </c>
      <c r="H227">
        <f t="shared" si="52"/>
        <v>3</v>
      </c>
      <c r="I227" t="str">
        <f t="shared" si="53"/>
        <v>OL Platz 4</v>
      </c>
      <c r="J227" t="s">
        <v>197</v>
      </c>
      <c r="K227">
        <v>4</v>
      </c>
      <c r="M227">
        <f>VLOOKUP(H227+1,SHV!U$3:V$49,2,FALSE)</f>
        <v>4</v>
      </c>
      <c r="N227" t="str" cm="1">
        <f t="array" ref="N227">INDEX(SHV!E$3:E$945,M227)</f>
        <v>TV Ehingen</v>
      </c>
    </row>
    <row r="228" spans="2:14" x14ac:dyDescent="0.35">
      <c r="B228">
        <f t="shared" si="54"/>
        <v>4</v>
      </c>
      <c r="C228">
        <f t="shared" si="50"/>
        <v>3</v>
      </c>
      <c r="D228" t="str" cm="1">
        <f t="array" ref="D228">IF(C228=0,INDEX(D$21:D$97,B$38+1-B228),INDEX(I$225:I$1002,C228))</f>
        <v>OL Platz 4</v>
      </c>
      <c r="E228" t="str" cm="1">
        <f t="array" ref="E228">IF(C228=0,INDEX(E$21:E$97,B$38+1-B228),INDEX(N$225:N$1002,C228))</f>
        <v>TV Ehingen</v>
      </c>
      <c r="F228">
        <f t="shared" si="51"/>
        <v>5</v>
      </c>
      <c r="G228">
        <v>0</v>
      </c>
      <c r="H228">
        <f t="shared" si="52"/>
        <v>4</v>
      </c>
      <c r="I228" t="str">
        <f t="shared" si="53"/>
        <v>OL Platz 5</v>
      </c>
      <c r="J228" t="s">
        <v>197</v>
      </c>
      <c r="K228">
        <v>5</v>
      </c>
      <c r="M228">
        <f>VLOOKUP(H228+1,SHV!U$3:V$49,2,FALSE)</f>
        <v>5</v>
      </c>
      <c r="N228" t="str" cm="1">
        <f t="array" ref="N228">INDEX(SHV!E$3:E$945,M228)</f>
        <v>SG Kenzingen/Herbolzheim</v>
      </c>
    </row>
    <row r="229" spans="2:14" x14ac:dyDescent="0.35">
      <c r="B229">
        <f t="shared" si="54"/>
        <v>5</v>
      </c>
      <c r="C229">
        <f t="shared" si="50"/>
        <v>4</v>
      </c>
      <c r="D229" t="str" cm="1">
        <f t="array" ref="D229">IF(C229=0,INDEX(D$21:D$97,B$38+1-B229),INDEX(I$225:I$1002,C229))</f>
        <v>OL Platz 5</v>
      </c>
      <c r="E229" t="str" cm="1">
        <f t="array" ref="E229">IF(C229=0,INDEX(E$21:E$97,B$38+1-B229),INDEX(N$225:N$1002,C229))</f>
        <v>SG Kenzingen/Herbolzheim</v>
      </c>
      <c r="F229">
        <f t="shared" si="51"/>
        <v>6</v>
      </c>
      <c r="G229">
        <v>0</v>
      </c>
      <c r="H229">
        <f t="shared" si="52"/>
        <v>5</v>
      </c>
      <c r="I229" t="str">
        <f t="shared" si="53"/>
        <v>OL Platz 6</v>
      </c>
      <c r="J229" t="s">
        <v>197</v>
      </c>
      <c r="K229">
        <v>6</v>
      </c>
      <c r="M229">
        <f>VLOOKUP(H229+1,SHV!U$3:V$49,2,FALSE)</f>
        <v>6</v>
      </c>
      <c r="N229" t="str" cm="1">
        <f t="array" ref="N229">INDEX(SHV!E$3:E$945,M229)</f>
        <v>TuS Altenheim</v>
      </c>
    </row>
    <row r="230" spans="2:14" x14ac:dyDescent="0.35">
      <c r="B230">
        <f t="shared" si="54"/>
        <v>6</v>
      </c>
      <c r="C230">
        <f t="shared" si="50"/>
        <v>5</v>
      </c>
      <c r="D230" t="str" cm="1">
        <f t="array" ref="D230">IF(C230=0,INDEX(D$21:D$97,B$38+1-B230),INDEX(I$225:I$1002,C230))</f>
        <v>OL Platz 6</v>
      </c>
      <c r="E230" t="str" cm="1">
        <f t="array" ref="E230">IF(C230=0,INDEX(E$21:E$97,B$38+1-B230),INDEX(N$225:N$1002,C230))</f>
        <v>TuS Altenheim</v>
      </c>
      <c r="F230">
        <f t="shared" si="51"/>
        <v>7</v>
      </c>
      <c r="G230">
        <v>0</v>
      </c>
      <c r="H230">
        <f t="shared" si="52"/>
        <v>6</v>
      </c>
      <c r="I230" t="str">
        <f t="shared" si="53"/>
        <v>OL Platz 7</v>
      </c>
      <c r="J230" t="s">
        <v>197</v>
      </c>
      <c r="K230">
        <v>7</v>
      </c>
      <c r="M230">
        <f>VLOOKUP(H230+1,SHV!U$3:V$49,2,FALSE)</f>
        <v>7</v>
      </c>
      <c r="N230" t="str" cm="1">
        <f t="array" ref="N230">INDEX(SHV!E$3:E$945,M230)</f>
        <v>BSV Phönix Sinzheim</v>
      </c>
    </row>
    <row r="231" spans="2:14" x14ac:dyDescent="0.35">
      <c r="B231">
        <f t="shared" si="54"/>
        <v>7</v>
      </c>
      <c r="C231">
        <f t="shared" si="50"/>
        <v>6</v>
      </c>
      <c r="D231" t="str" cm="1">
        <f t="array" ref="D231">IF(C231=0,INDEX(D$21:D$97,B$38+1-B231),INDEX(I$225:I$1002,C231))</f>
        <v>OL Platz 7</v>
      </c>
      <c r="E231" t="str" cm="1">
        <f t="array" ref="E231">IF(C231=0,INDEX(E$21:E$97,B$38+1-B231),INDEX(N$225:N$1002,C231))</f>
        <v>BSV Phönix Sinzheim</v>
      </c>
      <c r="F231">
        <f t="shared" si="51"/>
        <v>8</v>
      </c>
      <c r="G231">
        <v>0</v>
      </c>
      <c r="H231">
        <f t="shared" si="52"/>
        <v>7</v>
      </c>
      <c r="I231" t="str">
        <f t="shared" si="53"/>
        <v>OL Platz 8</v>
      </c>
      <c r="J231" t="s">
        <v>197</v>
      </c>
      <c r="K231">
        <v>8</v>
      </c>
      <c r="M231">
        <f>VLOOKUP(H231+1,SHV!U$3:V$49,2,FALSE)</f>
        <v>8</v>
      </c>
      <c r="N231" t="str" cm="1">
        <f t="array" ref="N231">INDEX(SHV!E$3:E$945,M231)</f>
        <v>TuS Helmlingen</v>
      </c>
    </row>
    <row r="232" spans="2:14" x14ac:dyDescent="0.35">
      <c r="B232">
        <f t="shared" si="54"/>
        <v>8</v>
      </c>
      <c r="C232">
        <f t="shared" si="50"/>
        <v>7</v>
      </c>
      <c r="D232" t="str" cm="1">
        <f t="array" ref="D232">IF(C232=0,INDEX(D$21:D$97,B$38+1-B232),INDEX(I$225:I$1002,C232))</f>
        <v>OL Platz 8</v>
      </c>
      <c r="E232" t="str" cm="1">
        <f t="array" ref="E232">IF(C232=0,INDEX(E$21:E$97,B$38+1-B232),INDEX(N$225:N$1002,C232))</f>
        <v>TuS Helmlingen</v>
      </c>
      <c r="F232">
        <f t="shared" si="51"/>
        <v>9</v>
      </c>
      <c r="G232">
        <v>0</v>
      </c>
      <c r="H232">
        <f t="shared" si="52"/>
        <v>8</v>
      </c>
      <c r="I232" t="str">
        <f t="shared" si="53"/>
        <v>OL Platz 9</v>
      </c>
      <c r="J232" t="s">
        <v>197</v>
      </c>
      <c r="K232">
        <v>9</v>
      </c>
      <c r="M232">
        <f>VLOOKUP(H232+1,SHV!U$3:V$49,2,FALSE)</f>
        <v>9</v>
      </c>
      <c r="N232" t="str" cm="1">
        <f t="array" ref="N232">INDEX(SHV!E$3:E$945,M232)</f>
        <v>SG Kappelwindeck/Steinbach</v>
      </c>
    </row>
    <row r="233" spans="2:14" x14ac:dyDescent="0.35">
      <c r="B233">
        <f t="shared" si="54"/>
        <v>9</v>
      </c>
      <c r="C233">
        <f t="shared" si="50"/>
        <v>8</v>
      </c>
      <c r="D233" t="str" cm="1">
        <f t="array" ref="D233">IF(C233=0,INDEX(D$21:D$97,B$38+1-B233),INDEX(I$225:I$1002,C233))</f>
        <v>OL Platz 9</v>
      </c>
      <c r="E233" t="str" cm="1">
        <f t="array" ref="E233">IF(C233=0,INDEX(E$21:E$97,B$38+1-B233),INDEX(N$225:N$1002,C233))</f>
        <v>SG Kappelwindeck/Steinbach</v>
      </c>
      <c r="F233">
        <f t="shared" si="51"/>
        <v>10</v>
      </c>
      <c r="G233">
        <v>0</v>
      </c>
      <c r="H233">
        <f t="shared" si="52"/>
        <v>9</v>
      </c>
      <c r="I233" t="str">
        <f t="shared" si="53"/>
        <v>OL Platz 10</v>
      </c>
      <c r="J233" t="s">
        <v>197</v>
      </c>
      <c r="K233">
        <v>10</v>
      </c>
      <c r="M233">
        <f>VLOOKUP(H233+1,SHV!U$3:V$49,2,FALSE)</f>
        <v>10</v>
      </c>
      <c r="N233" t="str" cm="1">
        <f t="array" ref="N233">INDEX(SHV!E$3:E$945,M233)</f>
        <v>TV Oberkirch</v>
      </c>
    </row>
    <row r="234" spans="2:14" x14ac:dyDescent="0.35">
      <c r="B234">
        <f t="shared" si="54"/>
        <v>10</v>
      </c>
      <c r="C234">
        <f t="shared" si="50"/>
        <v>9</v>
      </c>
      <c r="D234" t="str" cm="1">
        <f t="array" ref="D234">IF(C234=0,INDEX(D$21:D$97,B$38+1-B234),INDEX(I$225:I$1002,C234))</f>
        <v>OL Platz 10</v>
      </c>
      <c r="E234" t="str" cm="1">
        <f t="array" ref="E234">IF(C234=0,INDEX(E$21:E$97,B$38+1-B234),INDEX(N$225:N$1002,C234))</f>
        <v>TV Oberkirch</v>
      </c>
      <c r="F234">
        <f t="shared" si="51"/>
        <v>11</v>
      </c>
      <c r="G234">
        <v>0</v>
      </c>
      <c r="H234">
        <f t="shared" si="52"/>
        <v>10</v>
      </c>
      <c r="I234" t="str">
        <f t="shared" si="53"/>
        <v>OL Platz 11</v>
      </c>
      <c r="J234" t="s">
        <v>197</v>
      </c>
      <c r="K234">
        <v>11</v>
      </c>
      <c r="M234">
        <f>VLOOKUP(H234+1,SHV!U$3:V$49,2,FALSE)</f>
        <v>11</v>
      </c>
      <c r="N234" t="str" cm="1">
        <f t="array" ref="N234">INDEX(SHV!E$3:E$945,M234)</f>
        <v>SG Muggensturm/Kuppenheim</v>
      </c>
    </row>
    <row r="235" spans="2:14" x14ac:dyDescent="0.35">
      <c r="B235">
        <f t="shared" si="54"/>
        <v>11</v>
      </c>
      <c r="C235">
        <f t="shared" si="50"/>
        <v>10</v>
      </c>
      <c r="D235" t="str" cm="1">
        <f t="array" ref="D235">IF(C235=0,INDEX(D$21:D$97,B$38+1-B235),INDEX(I$225:I$1002,C235))</f>
        <v>OL Platz 11</v>
      </c>
      <c r="E235" t="str" cm="1">
        <f t="array" ref="E235">IF(C235=0,INDEX(E$21:E$97,B$38+1-B235),INDEX(N$225:N$1002,C235))</f>
        <v>SG Muggensturm/Kuppenheim</v>
      </c>
      <c r="F235">
        <f t="shared" si="51"/>
        <v>14</v>
      </c>
      <c r="G235">
        <v>2</v>
      </c>
      <c r="H235">
        <f t="shared" si="52"/>
        <v>11</v>
      </c>
      <c r="I235" t="str">
        <f>J235&amp;" Platz "&amp;K235</f>
        <v>OL Platz 12</v>
      </c>
      <c r="J235" t="s">
        <v>197</v>
      </c>
      <c r="K235">
        <v>12</v>
      </c>
      <c r="M235">
        <f>VLOOKUP(H235+1,SHV!U$3:V$49,2,FALSE)</f>
        <v>12</v>
      </c>
      <c r="N235" t="str" cm="1">
        <f t="array" ref="N235">INDEX(SHV!E$3:E$945,M235)</f>
        <v>SG Freudenstadt/Baiersbronn</v>
      </c>
    </row>
    <row r="236" spans="2:14" x14ac:dyDescent="0.35">
      <c r="B236">
        <f t="shared" si="54"/>
        <v>12</v>
      </c>
      <c r="C236">
        <f t="shared" si="50"/>
        <v>14</v>
      </c>
      <c r="D236" t="str" cm="1">
        <f t="array" ref="D236">IF(C236=0,INDEX(D$21:D$97,B$38+1-B236),INDEX(I$225:I$1002,C236))</f>
        <v>LL Platz 1 Rang 1</v>
      </c>
      <c r="E236" t="str" cm="1">
        <f t="array" ref="E236">IF(C236=0,INDEX(E$21:E$97,B$38+1-B236),INDEX(N$225:N$1002,C236))</f>
        <v>TSV Alemannia Freiburg-Zähringen</v>
      </c>
      <c r="F236">
        <f t="shared" si="51"/>
        <v>15</v>
      </c>
      <c r="G236">
        <v>2</v>
      </c>
      <c r="H236">
        <f t="shared" si="52"/>
        <v>12</v>
      </c>
      <c r="I236" t="str">
        <f>J236&amp;" Platz "&amp;K236</f>
        <v>OL Platz 13</v>
      </c>
      <c r="J236" t="s">
        <v>197</v>
      </c>
      <c r="K236">
        <v>13</v>
      </c>
      <c r="M236">
        <f>VLOOKUP(H236+1,SHV!U$3:V$49,2,FALSE)</f>
        <v>13</v>
      </c>
      <c r="N236" t="str" cm="1">
        <f t="array" ref="N236">INDEX(SHV!E$3:E$945,M236)</f>
        <v>SG Ohlsbach/Elgersweier</v>
      </c>
    </row>
    <row r="237" spans="2:14" x14ac:dyDescent="0.35">
      <c r="B237">
        <f t="shared" si="54"/>
        <v>13</v>
      </c>
      <c r="C237">
        <f t="shared" si="50"/>
        <v>15</v>
      </c>
      <c r="D237" t="str" cm="1">
        <f t="array" ref="D237">IF(C237=0,INDEX(D$21:D$97,B$38+1-B237),INDEX(I$225:I$1002,C237))</f>
        <v>LL Platz 1 Rang 2</v>
      </c>
      <c r="E237" t="str" cm="1">
        <f t="array" ref="E237">IF(C237=0,INDEX(E$21:E$97,B$38+1-B237),INDEX(N$225:N$1002,C237))</f>
        <v>TuS Schutterwald 2</v>
      </c>
      <c r="F237">
        <f t="shared" si="51"/>
        <v>16</v>
      </c>
      <c r="G237">
        <v>2</v>
      </c>
      <c r="H237">
        <f t="shared" si="52"/>
        <v>13</v>
      </c>
      <c r="I237" t="str">
        <f>J237&amp;" Platz "&amp;K237</f>
        <v>OL Platz 14</v>
      </c>
      <c r="J237" t="s">
        <v>197</v>
      </c>
      <c r="K237">
        <v>14</v>
      </c>
      <c r="M237">
        <f>VLOOKUP(H237+1,SHV!U$3:V$49,2,FALSE)</f>
        <v>14</v>
      </c>
      <c r="N237" t="str" cm="1">
        <f t="array" ref="N237">INDEX(SHV!E$3:E$945,M237)</f>
        <v>SG Scutro</v>
      </c>
    </row>
    <row r="238" spans="2:14" x14ac:dyDescent="0.35">
      <c r="B238">
        <f t="shared" si="54"/>
        <v>14</v>
      </c>
      <c r="C238">
        <f t="shared" si="50"/>
        <v>11</v>
      </c>
      <c r="D238" t="str" cm="1">
        <f t="array" ref="D238">IF(C238=0,INDEX(D$21:D$97,B$38+1-B238),INDEX(I$225:I$1002,C238))</f>
        <v>OL Platz 12</v>
      </c>
      <c r="E238" t="str" cm="1">
        <f t="array" ref="E238">IF(C238=0,INDEX(E$21:E$97,B$38+1-B238),INDEX(N$225:N$1002,C238))</f>
        <v>SG Freudenstadt/Baiersbronn</v>
      </c>
      <c r="F238">
        <f t="shared" si="51"/>
        <v>12</v>
      </c>
      <c r="G238">
        <v>-3</v>
      </c>
      <c r="H238">
        <f t="shared" si="52"/>
        <v>14</v>
      </c>
      <c r="I238" t="str">
        <f t="shared" ref="I238:I265" si="55">J238&amp;" Platz "&amp;K238&amp;" Rang "&amp;L238</f>
        <v>LL Platz 1 Rang 1</v>
      </c>
      <c r="J238" t="s">
        <v>3</v>
      </c>
      <c r="K238">
        <v>1</v>
      </c>
      <c r="L238">
        <v>1</v>
      </c>
      <c r="M238">
        <f>VLOOKUP(H238+1,SHV!U$3:V$49,2,FALSE)</f>
        <v>29</v>
      </c>
      <c r="N238" t="str" cm="1">
        <f t="array" ref="N238">INDEX(SHV!E$3:E$945,M238)</f>
        <v>TSV Alemannia Freiburg-Zähringen</v>
      </c>
    </row>
    <row r="239" spans="2:14" x14ac:dyDescent="0.35">
      <c r="B239">
        <f t="shared" si="54"/>
        <v>15</v>
      </c>
      <c r="C239">
        <f t="shared" si="50"/>
        <v>12</v>
      </c>
      <c r="D239" t="str" cm="1">
        <f t="array" ref="D239">IF(C239=0,INDEX(D$21:D$97,B$38+1-B239),INDEX(I$225:I$1002,C239))</f>
        <v>OL Platz 13</v>
      </c>
      <c r="E239" t="str" cm="1">
        <f t="array" ref="E239">IF(C239=0,INDEX(E$21:E$97,B$38+1-B239),INDEX(N$225:N$1002,C239))</f>
        <v>SG Ohlsbach/Elgersweier</v>
      </c>
      <c r="F239">
        <f t="shared" si="51"/>
        <v>13</v>
      </c>
      <c r="G239">
        <v>-3</v>
      </c>
      <c r="H239">
        <f t="shared" si="52"/>
        <v>15</v>
      </c>
      <c r="I239" t="str">
        <f t="shared" si="55"/>
        <v>LL Platz 1 Rang 2</v>
      </c>
      <c r="J239" t="s">
        <v>3</v>
      </c>
      <c r="K239">
        <v>1</v>
      </c>
      <c r="L239">
        <v>2</v>
      </c>
      <c r="M239">
        <f>VLOOKUP(H239+1,SHV!U$3:V$49,2,FALSE)</f>
        <v>15</v>
      </c>
      <c r="N239" t="str" cm="1">
        <f t="array" ref="N239">INDEX(SHV!E$3:E$945,M239)</f>
        <v>TuS Schutterwald 2</v>
      </c>
    </row>
    <row r="240" spans="2:14" x14ac:dyDescent="0.35">
      <c r="B240">
        <f t="shared" si="54"/>
        <v>16</v>
      </c>
      <c r="C240">
        <f t="shared" si="50"/>
        <v>13</v>
      </c>
      <c r="D240" t="str" cm="1">
        <f t="array" ref="D240">IF(C240=0,INDEX(D$21:D$97,B$38+1-B240),INDEX(I$225:I$1002,C240))</f>
        <v>OL Platz 14</v>
      </c>
      <c r="E240" t="str" cm="1">
        <f t="array" ref="E240">IF(C240=0,INDEX(E$21:E$97,B$38+1-B240),INDEX(N$225:N$1002,C240))</f>
        <v>SG Scutro</v>
      </c>
      <c r="F240">
        <f t="shared" si="51"/>
        <v>17</v>
      </c>
      <c r="G240">
        <v>0</v>
      </c>
      <c r="H240">
        <f t="shared" si="52"/>
        <v>16</v>
      </c>
      <c r="I240" t="str">
        <f t="shared" si="55"/>
        <v>LL Platz 2 Rang 1</v>
      </c>
      <c r="J240" t="s">
        <v>3</v>
      </c>
      <c r="K240">
        <v>2</v>
      </c>
      <c r="L240">
        <v>1</v>
      </c>
      <c r="M240">
        <f>VLOOKUP(H240+1,SHV!U$3:V$49,2,FALSE)</f>
        <v>30</v>
      </c>
      <c r="N240" t="str" cm="1">
        <f t="array" ref="N240">INDEX(SHV!E$3:E$945,M240)</f>
        <v>TuS Ringsheim</v>
      </c>
    </row>
    <row r="241" spans="2:14" x14ac:dyDescent="0.35">
      <c r="B241">
        <f t="shared" si="54"/>
        <v>17</v>
      </c>
      <c r="C241">
        <f t="shared" si="50"/>
        <v>16</v>
      </c>
      <c r="D241" t="str" cm="1">
        <f t="array" ref="D241">IF(C241=0,INDEX(D$21:D$97,B$38+1-B241),INDEX(I$225:I$1002,C241))</f>
        <v>LL Platz 2 Rang 1</v>
      </c>
      <c r="E241" t="str" cm="1">
        <f t="array" ref="E241">IF(C241=0,INDEX(E$21:E$97,B$38+1-B241),INDEX(N$225:N$1002,C241))</f>
        <v>TuS Ringsheim</v>
      </c>
      <c r="F241">
        <f t="shared" si="51"/>
        <v>18</v>
      </c>
      <c r="G241">
        <v>0</v>
      </c>
      <c r="H241">
        <f t="shared" si="52"/>
        <v>17</v>
      </c>
      <c r="I241" t="str">
        <f t="shared" si="55"/>
        <v>LL Platz 2 Rang 2</v>
      </c>
      <c r="J241" t="s">
        <v>3</v>
      </c>
      <c r="K241">
        <v>2</v>
      </c>
      <c r="L241">
        <v>2</v>
      </c>
      <c r="M241">
        <f>VLOOKUP(H241+1,SHV!U$3:V$49,2,FALSE)</f>
        <v>16</v>
      </c>
      <c r="N241" t="str" cm="1">
        <f t="array" ref="N241">INDEX(SHV!E$3:E$945,M241)</f>
        <v>TV Sandweier 2</v>
      </c>
    </row>
    <row r="242" spans="2:14" x14ac:dyDescent="0.35">
      <c r="B242">
        <f t="shared" si="54"/>
        <v>18</v>
      </c>
      <c r="C242">
        <f t="shared" si="50"/>
        <v>17</v>
      </c>
      <c r="D242" t="str" cm="1">
        <f t="array" ref="D242">IF(C242=0,INDEX(D$21:D$97,B$38+1-B242),INDEX(I$225:I$1002,C242))</f>
        <v>LL Platz 2 Rang 2</v>
      </c>
      <c r="E242" t="str" cm="1">
        <f t="array" ref="E242">IF(C242=0,INDEX(E$21:E$97,B$38+1-B242),INDEX(N$225:N$1002,C242))</f>
        <v>TV Sandweier 2</v>
      </c>
      <c r="F242">
        <f t="shared" si="51"/>
        <v>19</v>
      </c>
      <c r="G242">
        <v>0</v>
      </c>
      <c r="H242">
        <f t="shared" si="52"/>
        <v>18</v>
      </c>
      <c r="I242" t="str">
        <f t="shared" si="55"/>
        <v>LL Platz 3 Rang 1</v>
      </c>
      <c r="J242" t="s">
        <v>3</v>
      </c>
      <c r="K242">
        <v>3</v>
      </c>
      <c r="L242">
        <v>1</v>
      </c>
      <c r="M242">
        <f>VLOOKUP(H242+1,SHV!U$3:V$49,2,FALSE)</f>
        <v>31</v>
      </c>
      <c r="N242" t="str" cm="1">
        <f t="array" ref="N242">INDEX(SHV!E$3:E$945,M242)</f>
        <v>SG Köndringen/Teningen 2</v>
      </c>
    </row>
    <row r="243" spans="2:14" x14ac:dyDescent="0.35">
      <c r="B243">
        <f t="shared" si="54"/>
        <v>19</v>
      </c>
      <c r="C243">
        <f t="shared" si="50"/>
        <v>18</v>
      </c>
      <c r="D243" t="str" cm="1">
        <f t="array" ref="D243">IF(C243=0,INDEX(D$21:D$97,B$38+1-B243),INDEX(I$225:I$1002,C243))</f>
        <v>LL Platz 3 Rang 1</v>
      </c>
      <c r="E243" t="str" cm="1">
        <f t="array" ref="E243">IF(C243=0,INDEX(E$21:E$97,B$38+1-B243),INDEX(N$225:N$1002,C243))</f>
        <v>SG Köndringen/Teningen 2</v>
      </c>
      <c r="F243">
        <f t="shared" si="51"/>
        <v>20</v>
      </c>
      <c r="G243">
        <v>0</v>
      </c>
      <c r="H243">
        <f t="shared" si="52"/>
        <v>19</v>
      </c>
      <c r="I243" t="str">
        <f t="shared" si="55"/>
        <v>LL Platz 3 Rang 2</v>
      </c>
      <c r="J243" t="s">
        <v>3</v>
      </c>
      <c r="K243">
        <v>3</v>
      </c>
      <c r="L243">
        <v>2</v>
      </c>
      <c r="M243">
        <f>VLOOKUP(H243+1,SHV!U$3:V$49,2,FALSE)</f>
        <v>17</v>
      </c>
      <c r="N243" t="str" cm="1">
        <f t="array" ref="N243">INDEX(SHV!E$3:E$945,M243)</f>
        <v>HGW Hofweier</v>
      </c>
    </row>
    <row r="244" spans="2:14" x14ac:dyDescent="0.35">
      <c r="B244">
        <f t="shared" si="54"/>
        <v>20</v>
      </c>
      <c r="C244">
        <f t="shared" si="50"/>
        <v>19</v>
      </c>
      <c r="D244" t="str" cm="1">
        <f t="array" ref="D244">IF(C244=0,INDEX(D$21:D$97,B$38+1-B244),INDEX(I$225:I$1002,C244))</f>
        <v>LL Platz 3 Rang 2</v>
      </c>
      <c r="E244" t="str" cm="1">
        <f t="array" ref="E244">IF(C244=0,INDEX(E$21:E$97,B$38+1-B244),INDEX(N$225:N$1002,C244))</f>
        <v>HGW Hofweier</v>
      </c>
      <c r="F244">
        <f t="shared" si="51"/>
        <v>21</v>
      </c>
      <c r="G244">
        <v>0</v>
      </c>
      <c r="H244">
        <f t="shared" si="52"/>
        <v>20</v>
      </c>
      <c r="I244" t="str">
        <f t="shared" si="55"/>
        <v>LL Platz 4 Rang 1</v>
      </c>
      <c r="J244" t="s">
        <v>3</v>
      </c>
      <c r="K244">
        <v>4</v>
      </c>
      <c r="L244">
        <v>1</v>
      </c>
      <c r="M244">
        <f>VLOOKUP(H244+1,SHV!U$3:V$49,2,FALSE)</f>
        <v>18</v>
      </c>
      <c r="N244" t="str" cm="1">
        <f t="array" ref="N244">INDEX(SHV!E$3:E$945,M244)</f>
        <v>HSG Nonnenweier/Ottenheim</v>
      </c>
    </row>
    <row r="245" spans="2:14" x14ac:dyDescent="0.35">
      <c r="B245">
        <f t="shared" si="54"/>
        <v>21</v>
      </c>
      <c r="C245">
        <f t="shared" si="50"/>
        <v>20</v>
      </c>
      <c r="D245" t="str" cm="1">
        <f t="array" ref="D245">IF(C245=0,INDEX(D$21:D$97,B$38+1-B245),INDEX(I$225:I$1002,C245))</f>
        <v>LL Platz 4 Rang 1</v>
      </c>
      <c r="E245" t="str" cm="1">
        <f t="array" ref="E245">IF(C245=0,INDEX(E$21:E$97,B$38+1-B245),INDEX(N$225:N$1002,C245))</f>
        <v>HSG Nonnenweier/Ottenheim</v>
      </c>
      <c r="F245">
        <f t="shared" si="51"/>
        <v>22</v>
      </c>
      <c r="G245">
        <v>0</v>
      </c>
      <c r="H245">
        <f t="shared" si="52"/>
        <v>21</v>
      </c>
      <c r="I245" t="str">
        <f t="shared" si="55"/>
        <v>LL Platz 4 Rang 2</v>
      </c>
      <c r="J245" t="s">
        <v>3</v>
      </c>
      <c r="K245">
        <v>4</v>
      </c>
      <c r="L245">
        <v>2</v>
      </c>
      <c r="M245">
        <f>VLOOKUP(H245+1,SHV!U$3:V$49,2,FALSE)</f>
        <v>32</v>
      </c>
      <c r="N245" t="str" cm="1">
        <f t="array" ref="N245">INDEX(SHV!E$3:E$945,M245)</f>
        <v>HSG Dreiland</v>
      </c>
    </row>
    <row r="246" spans="2:14" x14ac:dyDescent="0.35">
      <c r="B246">
        <f t="shared" si="54"/>
        <v>22</v>
      </c>
      <c r="C246">
        <f t="shared" si="50"/>
        <v>21</v>
      </c>
      <c r="D246" t="str" cm="1">
        <f t="array" ref="D246">IF(C246=0,INDEX(D$21:D$97,B$38+1-B246),INDEX(I$225:I$1002,C246))</f>
        <v>LL Platz 4 Rang 2</v>
      </c>
      <c r="E246" t="str" cm="1">
        <f t="array" ref="E246">IF(C246=0,INDEX(E$21:E$97,B$38+1-B246),INDEX(N$225:N$1002,C246))</f>
        <v>HSG Dreiland</v>
      </c>
      <c r="F246">
        <f t="shared" si="51"/>
        <v>23</v>
      </c>
      <c r="G246">
        <v>0</v>
      </c>
      <c r="H246">
        <f t="shared" si="52"/>
        <v>22</v>
      </c>
      <c r="I246" t="str">
        <f t="shared" si="55"/>
        <v>LL Platz 5 Rang 1</v>
      </c>
      <c r="J246" t="s">
        <v>3</v>
      </c>
      <c r="K246">
        <v>5</v>
      </c>
      <c r="L246">
        <v>1</v>
      </c>
      <c r="M246">
        <f>VLOOKUP(H246+1,SHV!U$3:V$49,2,FALSE)</f>
        <v>19</v>
      </c>
      <c r="N246" t="str" cm="1">
        <f t="array" ref="N246">INDEX(SHV!E$3:E$945,M246)</f>
        <v>ASV Ottenhöfen</v>
      </c>
    </row>
    <row r="247" spans="2:14" x14ac:dyDescent="0.35">
      <c r="B247">
        <f t="shared" si="54"/>
        <v>23</v>
      </c>
      <c r="C247">
        <f t="shared" si="50"/>
        <v>22</v>
      </c>
      <c r="D247" t="str" cm="1">
        <f t="array" ref="D247">IF(C247=0,INDEX(D$21:D$97,B$38+1-B247),INDEX(I$225:I$1002,C247))</f>
        <v>LL Platz 5 Rang 1</v>
      </c>
      <c r="E247" t="str" cm="1">
        <f t="array" ref="E247">IF(C247=0,INDEX(E$21:E$97,B$38+1-B247),INDEX(N$225:N$1002,C247))</f>
        <v>ASV Ottenhöfen</v>
      </c>
      <c r="F247">
        <f t="shared" si="51"/>
        <v>24</v>
      </c>
      <c r="G247">
        <v>0</v>
      </c>
      <c r="H247">
        <f t="shared" si="52"/>
        <v>23</v>
      </c>
      <c r="I247" t="str">
        <f t="shared" si="55"/>
        <v>LL Platz 5 Rang 2</v>
      </c>
      <c r="J247" t="s">
        <v>3</v>
      </c>
      <c r="K247">
        <v>5</v>
      </c>
      <c r="L247">
        <v>2</v>
      </c>
      <c r="M247">
        <f>VLOOKUP(H247+1,SHV!U$3:V$49,2,FALSE)</f>
        <v>33</v>
      </c>
      <c r="N247" t="str" cm="1">
        <f t="array" ref="N247">INDEX(SHV!E$3:E$945,M247)</f>
        <v>SG Waldkirch/Denzlingen</v>
      </c>
    </row>
    <row r="248" spans="2:14" x14ac:dyDescent="0.35">
      <c r="B248">
        <f t="shared" si="54"/>
        <v>24</v>
      </c>
      <c r="C248">
        <f t="shared" si="50"/>
        <v>23</v>
      </c>
      <c r="D248" t="str" cm="1">
        <f t="array" ref="D248">IF(C248=0,INDEX(D$21:D$97,B$38+1-B248),INDEX(I$225:I$1002,C248))</f>
        <v>LL Platz 5 Rang 2</v>
      </c>
      <c r="E248" t="str" cm="1">
        <f t="array" ref="E248">IF(C248=0,INDEX(E$21:E$97,B$38+1-B248),INDEX(N$225:N$1002,C248))</f>
        <v>SG Waldkirch/Denzlingen</v>
      </c>
      <c r="F248">
        <f t="shared" si="51"/>
        <v>25</v>
      </c>
      <c r="G248">
        <v>0</v>
      </c>
      <c r="H248">
        <f t="shared" si="52"/>
        <v>24</v>
      </c>
      <c r="I248" t="str">
        <f t="shared" si="55"/>
        <v>LL Platz 6 Rang 1</v>
      </c>
      <c r="J248" t="s">
        <v>3</v>
      </c>
      <c r="K248">
        <v>6</v>
      </c>
      <c r="L248">
        <v>1</v>
      </c>
      <c r="M248">
        <f>VLOOKUP(H248+1,SHV!U$3:V$49,2,FALSE)</f>
        <v>20</v>
      </c>
      <c r="N248" t="str" cm="1">
        <f t="array" ref="N248">INDEX(SHV!E$3:E$945,M248)</f>
        <v>HSG Ortenau Süd</v>
      </c>
    </row>
    <row r="249" spans="2:14" x14ac:dyDescent="0.35">
      <c r="B249">
        <f t="shared" si="54"/>
        <v>25</v>
      </c>
      <c r="C249">
        <f t="shared" si="50"/>
        <v>24</v>
      </c>
      <c r="D249" t="str" cm="1">
        <f t="array" ref="D249">IF(C249=0,INDEX(D$21:D$97,B$38+1-B249),INDEX(I$225:I$1002,C249))</f>
        <v>LL Platz 6 Rang 1</v>
      </c>
      <c r="E249" t="str" cm="1">
        <f t="array" ref="E249">IF(C249=0,INDEX(E$21:E$97,B$38+1-B249),INDEX(N$225:N$1002,C249))</f>
        <v>HSG Ortenau Süd</v>
      </c>
      <c r="F249">
        <f t="shared" si="51"/>
        <v>26</v>
      </c>
      <c r="G249">
        <v>0</v>
      </c>
      <c r="H249">
        <f t="shared" si="52"/>
        <v>25</v>
      </c>
      <c r="I249" t="str">
        <f t="shared" si="55"/>
        <v>LL Platz 6 Rang 2</v>
      </c>
      <c r="J249" t="s">
        <v>3</v>
      </c>
      <c r="K249">
        <v>6</v>
      </c>
      <c r="L249">
        <v>2</v>
      </c>
      <c r="M249">
        <f>VLOOKUP(H249+1,SHV!U$3:V$49,2,FALSE)</f>
        <v>34</v>
      </c>
      <c r="N249" t="str" cm="1">
        <f t="array" ref="N249">INDEX(SHV!E$3:E$945,M249)</f>
        <v>TuS Steißlingen 2</v>
      </c>
    </row>
    <row r="250" spans="2:14" x14ac:dyDescent="0.35">
      <c r="B250">
        <f t="shared" si="54"/>
        <v>26</v>
      </c>
      <c r="C250">
        <f t="shared" si="50"/>
        <v>25</v>
      </c>
      <c r="D250" t="str" cm="1">
        <f t="array" ref="D250">IF(C250=0,INDEX(D$21:D$97,B$38+1-B250),INDEX(I$225:I$1002,C250))</f>
        <v>LL Platz 6 Rang 2</v>
      </c>
      <c r="E250" t="str" cm="1">
        <f t="array" ref="E250">IF(C250=0,INDEX(E$21:E$97,B$38+1-B250),INDEX(N$225:N$1002,C250))</f>
        <v>TuS Steißlingen 2</v>
      </c>
      <c r="F250">
        <f t="shared" si="51"/>
        <v>27</v>
      </c>
      <c r="G250">
        <v>0</v>
      </c>
      <c r="H250">
        <f t="shared" si="52"/>
        <v>26</v>
      </c>
      <c r="I250" t="str">
        <f t="shared" si="55"/>
        <v>LL Platz 7 Rang 1</v>
      </c>
      <c r="J250" t="s">
        <v>3</v>
      </c>
      <c r="K250">
        <v>7</v>
      </c>
      <c r="L250">
        <v>1</v>
      </c>
      <c r="M250">
        <f>VLOOKUP(H250+1,SHV!U$3:V$49,2,FALSE)</f>
        <v>35</v>
      </c>
      <c r="N250" t="str" cm="1">
        <f t="array" ref="N250">INDEX(SHV!E$3:E$945,M250)</f>
        <v>SG Maulburg/Steinen</v>
      </c>
    </row>
    <row r="251" spans="2:14" x14ac:dyDescent="0.35">
      <c r="B251">
        <f t="shared" si="54"/>
        <v>27</v>
      </c>
      <c r="C251">
        <f t="shared" si="50"/>
        <v>26</v>
      </c>
      <c r="D251" t="str" cm="1">
        <f t="array" ref="D251">IF(C251=0,INDEX(D$21:D$97,B$38+1-B251),INDEX(I$225:I$1002,C251))</f>
        <v>LL Platz 7 Rang 1</v>
      </c>
      <c r="E251" t="str" cm="1">
        <f t="array" ref="E251">IF(C251=0,INDEX(E$21:E$97,B$38+1-B251),INDEX(N$225:N$1002,C251))</f>
        <v>SG Maulburg/Steinen</v>
      </c>
      <c r="F251">
        <f t="shared" si="51"/>
        <v>28</v>
      </c>
      <c r="G251">
        <v>0</v>
      </c>
      <c r="H251">
        <f t="shared" si="52"/>
        <v>27</v>
      </c>
      <c r="I251" t="str">
        <f t="shared" si="55"/>
        <v>LL Platz 7 Rang 2</v>
      </c>
      <c r="J251" t="s">
        <v>3</v>
      </c>
      <c r="K251">
        <v>7</v>
      </c>
      <c r="L251">
        <v>2</v>
      </c>
      <c r="M251">
        <f>VLOOKUP(H251+1,SHV!U$3:V$49,2,FALSE)</f>
        <v>21</v>
      </c>
      <c r="N251" t="str" cm="1">
        <f t="array" ref="N251">INDEX(SHV!E$3:E$945,M251)</f>
        <v>SV Zunsweier</v>
      </c>
    </row>
    <row r="252" spans="2:14" x14ac:dyDescent="0.35">
      <c r="B252">
        <f t="shared" si="54"/>
        <v>28</v>
      </c>
      <c r="C252">
        <f t="shared" si="50"/>
        <v>27</v>
      </c>
      <c r="D252" t="str" cm="1">
        <f t="array" ref="D252">IF(C252=0,INDEX(D$21:D$97,B$38+1-B252),INDEX(I$225:I$1002,C252))</f>
        <v>LL Platz 7 Rang 2</v>
      </c>
      <c r="E252" t="str" cm="1">
        <f t="array" ref="E252">IF(C252=0,INDEX(E$21:E$97,B$38+1-B252),INDEX(N$225:N$1002,C252))</f>
        <v>SV Zunsweier</v>
      </c>
      <c r="F252">
        <f t="shared" si="51"/>
        <v>29</v>
      </c>
      <c r="G252">
        <v>0</v>
      </c>
      <c r="H252">
        <f t="shared" si="52"/>
        <v>28</v>
      </c>
      <c r="I252" t="str">
        <f t="shared" si="55"/>
        <v>LL Platz 8 Rang 1</v>
      </c>
      <c r="J252" t="s">
        <v>3</v>
      </c>
      <c r="K252">
        <v>8</v>
      </c>
      <c r="L252">
        <v>1</v>
      </c>
      <c r="M252">
        <f>VLOOKUP(H252+1,SHV!U$3:V$49,2,FALSE)</f>
        <v>22</v>
      </c>
      <c r="N252" t="str" cm="1">
        <f t="array" ref="N252">INDEX(SHV!E$3:E$945,M252)</f>
        <v>HSG Hanauerland</v>
      </c>
    </row>
    <row r="253" spans="2:14" x14ac:dyDescent="0.35">
      <c r="B253">
        <f t="shared" si="54"/>
        <v>29</v>
      </c>
      <c r="C253">
        <f t="shared" si="50"/>
        <v>28</v>
      </c>
      <c r="D253" t="str" cm="1">
        <f t="array" ref="D253">IF(C253=0,INDEX(D$21:D$97,B$38+1-B253),INDEX(I$225:I$1002,C253))</f>
        <v>LL Platz 8 Rang 1</v>
      </c>
      <c r="E253" t="str" cm="1">
        <f t="array" ref="E253">IF(C253=0,INDEX(E$21:E$97,B$38+1-B253),INDEX(N$225:N$1002,C253))</f>
        <v>HSG Hanauerland</v>
      </c>
      <c r="F253">
        <f t="shared" si="51"/>
        <v>30</v>
      </c>
      <c r="G253">
        <v>0</v>
      </c>
      <c r="H253">
        <f t="shared" si="52"/>
        <v>29</v>
      </c>
      <c r="I253" t="str">
        <f t="shared" si="55"/>
        <v>LL Platz 8 Rang 2</v>
      </c>
      <c r="J253" t="s">
        <v>3</v>
      </c>
      <c r="K253">
        <v>8</v>
      </c>
      <c r="L253">
        <v>2</v>
      </c>
      <c r="M253">
        <f>VLOOKUP(H253+1,SHV!U$3:V$49,2,FALSE)</f>
        <v>36</v>
      </c>
      <c r="N253" t="str" cm="1">
        <f t="array" ref="N253">INDEX(SHV!E$3:E$945,M253)</f>
        <v>HSG Mimmenhausen/Mühlhofen</v>
      </c>
    </row>
    <row r="254" spans="2:14" x14ac:dyDescent="0.35">
      <c r="B254">
        <f t="shared" si="54"/>
        <v>30</v>
      </c>
      <c r="C254">
        <f t="shared" si="50"/>
        <v>29</v>
      </c>
      <c r="D254" t="str" cm="1">
        <f t="array" ref="D254">IF(C254=0,INDEX(D$21:D$97,B$38+1-B254),INDEX(I$225:I$1002,C254))</f>
        <v>LL Platz 8 Rang 2</v>
      </c>
      <c r="E254" t="str" cm="1">
        <f t="array" ref="E254">IF(C254=0,INDEX(E$21:E$97,B$38+1-B254),INDEX(N$225:N$1002,C254))</f>
        <v>HSG Mimmenhausen/Mühlhofen</v>
      </c>
      <c r="F254">
        <f t="shared" si="51"/>
        <v>31</v>
      </c>
      <c r="G254">
        <v>0</v>
      </c>
      <c r="H254">
        <f t="shared" si="52"/>
        <v>30</v>
      </c>
      <c r="I254" t="str">
        <f t="shared" si="55"/>
        <v>LL Platz 9 Rang 1</v>
      </c>
      <c r="J254" t="s">
        <v>3</v>
      </c>
      <c r="K254">
        <v>9</v>
      </c>
      <c r="L254">
        <v>1</v>
      </c>
      <c r="M254">
        <f>VLOOKUP(H254+1,SHV!U$3:V$49,2,FALSE)</f>
        <v>23</v>
      </c>
      <c r="N254" t="str" cm="1">
        <f t="array" ref="N254">INDEX(SHV!E$3:E$945,M254)</f>
        <v>HTV Meißenheim 2</v>
      </c>
    </row>
    <row r="255" spans="2:14" x14ac:dyDescent="0.35">
      <c r="B255">
        <f t="shared" si="54"/>
        <v>31</v>
      </c>
      <c r="C255">
        <f t="shared" si="50"/>
        <v>30</v>
      </c>
      <c r="D255" t="str" cm="1">
        <f t="array" ref="D255">IF(C255=0,INDEX(D$21:D$97,B$38+1-B255),INDEX(I$225:I$1002,C255))</f>
        <v>LL Platz 9 Rang 1</v>
      </c>
      <c r="E255" t="str" cm="1">
        <f t="array" ref="E255">IF(C255=0,INDEX(E$21:E$97,B$38+1-B255),INDEX(N$225:N$1002,C255))</f>
        <v>HTV Meißenheim 2</v>
      </c>
      <c r="F255">
        <f t="shared" si="51"/>
        <v>32</v>
      </c>
      <c r="G255">
        <v>0</v>
      </c>
      <c r="H255">
        <f t="shared" si="52"/>
        <v>31</v>
      </c>
      <c r="I255" t="str">
        <f t="shared" si="55"/>
        <v>LL Platz 9 Rang 2</v>
      </c>
      <c r="J255" t="s">
        <v>3</v>
      </c>
      <c r="K255">
        <v>9</v>
      </c>
      <c r="L255">
        <v>2</v>
      </c>
      <c r="M255">
        <f>VLOOKUP(H255+1,SHV!U$3:V$49,2,FALSE)</f>
        <v>37</v>
      </c>
      <c r="N255" t="str" cm="1">
        <f t="array" ref="N255">INDEX(SHV!E$3:E$945,M255)</f>
        <v>TV Pfullendorf</v>
      </c>
    </row>
    <row r="256" spans="2:14" x14ac:dyDescent="0.35">
      <c r="B256">
        <f t="shared" si="54"/>
        <v>32</v>
      </c>
      <c r="C256">
        <f t="shared" si="50"/>
        <v>31</v>
      </c>
      <c r="D256" t="str" cm="1">
        <f t="array" ref="D256">IF(C256=0,INDEX(D$21:D$97,B$38+1-B256),INDEX(I$225:I$1002,C256))</f>
        <v>LL Platz 9 Rang 2</v>
      </c>
      <c r="E256" t="str" cm="1">
        <f t="array" ref="E256">IF(C256=0,INDEX(E$21:E$97,B$38+1-B256),INDEX(N$225:N$1002,C256))</f>
        <v>TV Pfullendorf</v>
      </c>
      <c r="F256">
        <f t="shared" si="51"/>
        <v>33</v>
      </c>
      <c r="G256">
        <v>0</v>
      </c>
      <c r="H256">
        <f t="shared" si="52"/>
        <v>32</v>
      </c>
      <c r="I256" t="str">
        <f t="shared" si="55"/>
        <v>LL Platz 10 Rang 1</v>
      </c>
      <c r="J256" t="s">
        <v>3</v>
      </c>
      <c r="K256">
        <v>10</v>
      </c>
      <c r="L256">
        <v>1</v>
      </c>
      <c r="M256">
        <f>VLOOKUP(H256+1,SHV!U$3:V$49,2,FALSE)</f>
        <v>24</v>
      </c>
      <c r="N256" t="str" cm="1">
        <f t="array" ref="N256">INDEX(SHV!E$3:E$945,M256)</f>
        <v>TuS Oppenau</v>
      </c>
    </row>
    <row r="257" spans="2:14" x14ac:dyDescent="0.35">
      <c r="B257">
        <f t="shared" si="54"/>
        <v>33</v>
      </c>
      <c r="C257">
        <f t="shared" ref="C257:C276" si="56">IF(B257&lt;=B$38,0,VLOOKUP(B257,$F$225:$H$269,3,FALSE))</f>
        <v>32</v>
      </c>
      <c r="D257" t="str" cm="1">
        <f t="array" ref="D257">IF(C257=0,INDEX(D$21:D$97,B$38+1-B257),INDEX(I$225:I$1002,C257))</f>
        <v>LL Platz 10 Rang 1</v>
      </c>
      <c r="E257" t="str" cm="1">
        <f t="array" ref="E257">IF(C257=0,INDEX(E$21:E$97,B$38+1-B257),INDEX(N$225:N$1002,C257))</f>
        <v>TuS Oppenau</v>
      </c>
      <c r="F257">
        <f t="shared" si="51"/>
        <v>34</v>
      </c>
      <c r="G257">
        <v>0</v>
      </c>
      <c r="H257">
        <f t="shared" si="52"/>
        <v>33</v>
      </c>
      <c r="I257" t="str">
        <f t="shared" si="55"/>
        <v>LL Platz 10 Rang 2</v>
      </c>
      <c r="J257" t="s">
        <v>3</v>
      </c>
      <c r="K257">
        <v>10</v>
      </c>
      <c r="L257">
        <v>2</v>
      </c>
      <c r="M257">
        <f>VLOOKUP(H257+1,SHV!U$3:V$49,2,FALSE)</f>
        <v>38</v>
      </c>
      <c r="N257" t="str" cm="1">
        <f t="array" ref="N257">INDEX(SHV!E$3:E$945,M257)</f>
        <v>HG Müllheim/Neuenburg</v>
      </c>
    </row>
    <row r="258" spans="2:14" x14ac:dyDescent="0.35">
      <c r="B258">
        <f t="shared" si="54"/>
        <v>34</v>
      </c>
      <c r="C258">
        <f t="shared" si="56"/>
        <v>33</v>
      </c>
      <c r="D258" t="str" cm="1">
        <f t="array" ref="D258">IF(C258=0,INDEX(D$21:D$97,B$38+1-B258),INDEX(I$225:I$1002,C258))</f>
        <v>LL Platz 10 Rang 2</v>
      </c>
      <c r="E258" t="str" cm="1">
        <f t="array" ref="E258">IF(C258=0,INDEX(E$21:E$97,B$38+1-B258),INDEX(N$225:N$1002,C258))</f>
        <v>HG Müllheim/Neuenburg</v>
      </c>
      <c r="F258">
        <f t="shared" si="51"/>
        <v>35</v>
      </c>
      <c r="G258">
        <v>0</v>
      </c>
      <c r="H258">
        <f t="shared" si="52"/>
        <v>34</v>
      </c>
      <c r="I258" t="str">
        <f t="shared" si="55"/>
        <v>LL Platz 11 Rang 1</v>
      </c>
      <c r="J258" t="s">
        <v>3</v>
      </c>
      <c r="K258">
        <v>11</v>
      </c>
      <c r="L258">
        <v>1</v>
      </c>
      <c r="M258">
        <f>VLOOKUP(H258+1,SHV!U$3:V$49,2,FALSE)</f>
        <v>39</v>
      </c>
      <c r="N258" t="str" cm="1">
        <f t="array" ref="N258">INDEX(SHV!E$3:E$945,M258)</f>
        <v>SG Allensbach/Dettingen-Wallhausen</v>
      </c>
    </row>
    <row r="259" spans="2:14" x14ac:dyDescent="0.35">
      <c r="B259">
        <f t="shared" si="54"/>
        <v>35</v>
      </c>
      <c r="C259">
        <f t="shared" si="56"/>
        <v>34</v>
      </c>
      <c r="D259" t="str" cm="1">
        <f t="array" ref="D259">IF(C259=0,INDEX(D$21:D$97,B$38+1-B259),INDEX(I$225:I$1002,C259))</f>
        <v>LL Platz 11 Rang 1</v>
      </c>
      <c r="E259" t="str" cm="1">
        <f t="array" ref="E259">IF(C259=0,INDEX(E$21:E$97,B$38+1-B259),INDEX(N$225:N$1002,C259))</f>
        <v>SG Allensbach/Dettingen-Wallhausen</v>
      </c>
      <c r="F259">
        <f t="shared" si="51"/>
        <v>40</v>
      </c>
      <c r="G259">
        <v>4</v>
      </c>
      <c r="H259">
        <f t="shared" si="52"/>
        <v>35</v>
      </c>
      <c r="I259" t="str">
        <f t="shared" si="55"/>
        <v>LL Platz 11 Rang 2</v>
      </c>
      <c r="J259" t="s">
        <v>3</v>
      </c>
      <c r="K259">
        <v>11</v>
      </c>
      <c r="L259">
        <v>2</v>
      </c>
      <c r="M259">
        <f>VLOOKUP(H259+1,SHV!U$3:V$49,2,FALSE)</f>
        <v>25</v>
      </c>
      <c r="N259" t="str" cm="1">
        <f t="array" ref="N259">INDEX(SHV!E$3:E$945,M259)</f>
        <v>SG Gutach/Wolfach</v>
      </c>
    </row>
    <row r="260" spans="2:14" x14ac:dyDescent="0.35">
      <c r="B260">
        <f t="shared" si="54"/>
        <v>36</v>
      </c>
      <c r="C260">
        <f t="shared" si="56"/>
        <v>42</v>
      </c>
      <c r="D260" t="str" cm="1">
        <f t="array" ref="D260">IF(C260=0,INDEX(D$21:D$97,B$38+1-B260),INDEX(I$225:I$1002,C260))</f>
        <v>BOL Auf 1 Rang 1</v>
      </c>
      <c r="E260" t="str" cm="1">
        <f t="array" ref="E260">IF(C260=0,INDEX(E$21:E$97,B$38+1-B260),INDEX(N$225:N$1002,C260))</f>
        <v>HSC Radolfzell</v>
      </c>
      <c r="F260">
        <f t="shared" si="51"/>
        <v>41</v>
      </c>
      <c r="G260">
        <v>4</v>
      </c>
      <c r="H260">
        <f t="shared" si="52"/>
        <v>36</v>
      </c>
      <c r="I260" t="str">
        <f t="shared" si="55"/>
        <v>LL Platz 12 Rang 1</v>
      </c>
      <c r="J260" t="s">
        <v>3</v>
      </c>
      <c r="K260">
        <v>12</v>
      </c>
      <c r="L260">
        <v>1</v>
      </c>
      <c r="M260">
        <f>VLOOKUP(H260+1,SHV!U$3:V$49,2,FALSE)</f>
        <v>40</v>
      </c>
      <c r="N260" t="str" cm="1">
        <f t="array" ref="N260">INDEX(SHV!E$3:E$945,M260)</f>
        <v>HandBall Löwen Heitersheim</v>
      </c>
    </row>
    <row r="261" spans="2:14" x14ac:dyDescent="0.35">
      <c r="B261">
        <f t="shared" si="54"/>
        <v>37</v>
      </c>
      <c r="C261">
        <f t="shared" si="56"/>
        <v>43</v>
      </c>
      <c r="D261" t="str" cm="1">
        <f t="array" ref="D261">IF(C261=0,INDEX(D$21:D$97,B$38+1-B261),INDEX(I$225:I$1002,C261))</f>
        <v>BOL Auf 1 Rang 2</v>
      </c>
      <c r="E261" t="str" cm="1">
        <f t="array" ref="E261">IF(C261=0,INDEX(E$21:E$97,B$38+1-B261),INDEX(N$225:N$1002,C261))</f>
        <v>SG Ottersweier/Großweier</v>
      </c>
      <c r="F261">
        <f t="shared" si="51"/>
        <v>42</v>
      </c>
      <c r="G261">
        <v>4</v>
      </c>
      <c r="H261">
        <f t="shared" si="52"/>
        <v>37</v>
      </c>
      <c r="I261" t="str">
        <f t="shared" si="55"/>
        <v>LL Platz 12 Rang 2</v>
      </c>
      <c r="J261" t="s">
        <v>3</v>
      </c>
      <c r="K261">
        <v>12</v>
      </c>
      <c r="L261">
        <v>2</v>
      </c>
      <c r="M261">
        <f>VLOOKUP(H261+1,SHV!U$3:V$49,2,FALSE)</f>
        <v>26</v>
      </c>
      <c r="N261" t="str" cm="1">
        <f t="array" ref="N261">INDEX(SHV!E$3:E$945,M261)</f>
        <v>TV St. Georgen/Schw.</v>
      </c>
    </row>
    <row r="262" spans="2:14" x14ac:dyDescent="0.35">
      <c r="B262">
        <f t="shared" si="54"/>
        <v>38</v>
      </c>
      <c r="C262">
        <f t="shared" si="56"/>
        <v>44</v>
      </c>
      <c r="D262" t="str" cm="1">
        <f t="array" ref="D262">IF(C262=0,INDEX(D$21:D$97,B$38+1-B262),INDEX(I$225:I$1002,C262))</f>
        <v>BOL Auf 1 Rang 3</v>
      </c>
      <c r="E262" t="str" cm="1">
        <f t="array" ref="E262">IF(C262=0,INDEX(E$21:E$97,B$38+1-B262),INDEX(N$225:N$1002,C262))</f>
        <v>TSV Alemannia Freiburg-Zähringen 2</v>
      </c>
      <c r="F262">
        <f t="shared" si="51"/>
        <v>43</v>
      </c>
      <c r="G262">
        <v>4</v>
      </c>
      <c r="H262">
        <f t="shared" si="52"/>
        <v>38</v>
      </c>
      <c r="I262" t="str">
        <f t="shared" si="55"/>
        <v>LL Platz 13 Rang 1</v>
      </c>
      <c r="J262" t="s">
        <v>3</v>
      </c>
      <c r="K262">
        <v>13</v>
      </c>
      <c r="L262">
        <v>1</v>
      </c>
      <c r="M262">
        <f>VLOOKUP(H262+1,SHV!U$3:V$49,2,FALSE)</f>
        <v>41</v>
      </c>
      <c r="N262" t="str" cm="1">
        <f t="array" ref="N262">INDEX(SHV!E$3:E$945,M262)</f>
        <v>TuS Oberhausen</v>
      </c>
    </row>
    <row r="263" spans="2:14" x14ac:dyDescent="0.35">
      <c r="B263">
        <f t="shared" si="54"/>
        <v>39</v>
      </c>
      <c r="C263">
        <f t="shared" si="56"/>
        <v>45</v>
      </c>
      <c r="D263" t="str" cm="1">
        <f t="array" ref="D263">IF(C263=0,INDEX(D$21:D$97,B$38+1-B263),INDEX(I$225:I$1002,C263))</f>
        <v>BOL Auf 1 Rang 4</v>
      </c>
      <c r="E263" t="str" cm="1">
        <f t="array" ref="E263">IF(C263=0,INDEX(E$21:E$97,B$38+1-B263),INDEX(N$225:N$1002,C263))</f>
        <v>TuS Altenheim 2</v>
      </c>
      <c r="F263">
        <f t="shared" si="51"/>
        <v>44</v>
      </c>
      <c r="G263">
        <v>4</v>
      </c>
      <c r="H263">
        <f t="shared" si="52"/>
        <v>39</v>
      </c>
      <c r="I263" t="str">
        <f t="shared" si="55"/>
        <v>LL Platz 13 Rang 2</v>
      </c>
      <c r="J263" t="s">
        <v>3</v>
      </c>
      <c r="K263">
        <v>13</v>
      </c>
      <c r="L263">
        <v>2</v>
      </c>
      <c r="M263">
        <f>VLOOKUP(H263+1,SHV!U$3:V$49,2,FALSE)</f>
        <v>27</v>
      </c>
      <c r="N263" t="str" cm="1">
        <f t="array" ref="N263">INDEX(SHV!E$3:E$945,M263)</f>
        <v>Murgtal Panthers</v>
      </c>
    </row>
    <row r="264" spans="2:14" x14ac:dyDescent="0.35">
      <c r="B264">
        <f t="shared" si="54"/>
        <v>40</v>
      </c>
      <c r="C264">
        <f t="shared" si="56"/>
        <v>35</v>
      </c>
      <c r="D264" t="str" cm="1">
        <f t="array" ref="D264">IF(C264=0,INDEX(D$21:D$97,B$38+1-B264),INDEX(I$225:I$1002,C264))</f>
        <v>LL Platz 11 Rang 2</v>
      </c>
      <c r="E264" t="str" cm="1">
        <f t="array" ref="E264">IF(C264=0,INDEX(E$21:E$97,B$38+1-B264),INDEX(N$225:N$1002,C264))</f>
        <v>SG Gutach/Wolfach</v>
      </c>
      <c r="F264">
        <f t="shared" si="51"/>
        <v>45</v>
      </c>
      <c r="G264">
        <v>4</v>
      </c>
      <c r="H264">
        <f t="shared" si="52"/>
        <v>40</v>
      </c>
      <c r="I264" t="str">
        <f t="shared" si="55"/>
        <v>LL Platz 14 Rang 1</v>
      </c>
      <c r="J264" t="s">
        <v>3</v>
      </c>
      <c r="K264">
        <v>14</v>
      </c>
      <c r="L264">
        <v>1</v>
      </c>
      <c r="M264">
        <f>VLOOKUP(H264+1,SHV!U$3:V$49,2,FALSE)</f>
        <v>28</v>
      </c>
      <c r="N264" t="str" cm="1">
        <f t="array" ref="N264">INDEX(SHV!E$3:E$945,M264)</f>
        <v>SG Hornberg/Lauterbach/Triberg</v>
      </c>
    </row>
    <row r="265" spans="2:14" x14ac:dyDescent="0.35">
      <c r="B265">
        <f t="shared" si="54"/>
        <v>41</v>
      </c>
      <c r="C265">
        <f t="shared" si="56"/>
        <v>36</v>
      </c>
      <c r="D265" t="str" cm="1">
        <f t="array" ref="D265">IF(C265=0,INDEX(D$21:D$97,B$38+1-B265),INDEX(I$225:I$1002,C265))</f>
        <v>LL Platz 12 Rang 1</v>
      </c>
      <c r="E265" t="str" cm="1">
        <f t="array" ref="E265">IF(C265=0,INDEX(E$21:E$97,B$38+1-B265),INDEX(N$225:N$1002,C265))</f>
        <v>HandBall Löwen Heitersheim</v>
      </c>
      <c r="F265">
        <f t="shared" si="51"/>
        <v>46</v>
      </c>
      <c r="G265">
        <v>4</v>
      </c>
      <c r="H265">
        <f t="shared" si="52"/>
        <v>41</v>
      </c>
      <c r="I265" t="str">
        <f t="shared" si="55"/>
        <v>LL Platz 14 Rang 2</v>
      </c>
      <c r="J265" t="s">
        <v>3</v>
      </c>
      <c r="K265">
        <v>14</v>
      </c>
      <c r="L265">
        <v>2</v>
      </c>
      <c r="M265">
        <f>VLOOKUP(H265+1,SHV!U$3:V$49,2,FALSE)</f>
        <v>42</v>
      </c>
      <c r="N265" t="str" cm="1">
        <f t="array" ref="N265">INDEX(SHV!E$3:E$945,M265)</f>
        <v>DJK Singen</v>
      </c>
    </row>
    <row r="266" spans="2:14" x14ac:dyDescent="0.35">
      <c r="B266">
        <f t="shared" si="54"/>
        <v>42</v>
      </c>
      <c r="C266">
        <f t="shared" si="56"/>
        <v>37</v>
      </c>
      <c r="D266" t="str" cm="1">
        <f t="array" ref="D266">IF(C266=0,INDEX(D$21:D$97,B$38+1-B266),INDEX(I$225:I$1002,C266))</f>
        <v>LL Platz 12 Rang 2</v>
      </c>
      <c r="E266" t="str" cm="1">
        <f t="array" ref="E266">IF(C266=0,INDEX(E$21:E$97,B$38+1-B266),INDEX(N$225:N$1002,C266))</f>
        <v>TV St. Georgen/Schw.</v>
      </c>
      <c r="F266">
        <f t="shared" si="51"/>
        <v>36</v>
      </c>
      <c r="G266">
        <v>-7</v>
      </c>
      <c r="H266">
        <f t="shared" si="52"/>
        <v>42</v>
      </c>
      <c r="I266" t="str">
        <f>J266&amp;" Auf "&amp;K266&amp;" Rang "&amp;L266</f>
        <v>BOL Auf 1 Rang 1</v>
      </c>
      <c r="J266" t="s">
        <v>5</v>
      </c>
      <c r="K266">
        <v>1</v>
      </c>
      <c r="L266">
        <v>1</v>
      </c>
      <c r="M266">
        <f>VLOOKUP(H266+1,SHV!U$3:V$49,2,FALSE)</f>
        <v>46</v>
      </c>
      <c r="N266" t="str" cm="1">
        <f t="array" ref="N266">INDEX(SHV!E$3:E$945,M266)</f>
        <v>HSC Radolfzell</v>
      </c>
    </row>
    <row r="267" spans="2:14" x14ac:dyDescent="0.35">
      <c r="B267">
        <f t="shared" si="54"/>
        <v>43</v>
      </c>
      <c r="C267">
        <f t="shared" si="56"/>
        <v>38</v>
      </c>
      <c r="D267" t="str" cm="1">
        <f t="array" ref="D267">IF(C267=0,INDEX(D$21:D$97,B$38+1-B267),INDEX(I$225:I$1002,C267))</f>
        <v>LL Platz 13 Rang 1</v>
      </c>
      <c r="E267" t="str" cm="1">
        <f t="array" ref="E267">IF(C267=0,INDEX(E$21:E$97,B$38+1-B267),INDEX(N$225:N$1002,C267))</f>
        <v>TuS Oberhausen</v>
      </c>
      <c r="F267">
        <f t="shared" si="51"/>
        <v>37</v>
      </c>
      <c r="G267">
        <v>-7</v>
      </c>
      <c r="H267">
        <f t="shared" si="52"/>
        <v>43</v>
      </c>
      <c r="I267" t="str">
        <f t="shared" ref="I267:I269" si="57">J267&amp;" Auf "&amp;K267&amp;" Rang "&amp;L267</f>
        <v>BOL Auf 1 Rang 2</v>
      </c>
      <c r="J267" t="s">
        <v>5</v>
      </c>
      <c r="K267">
        <v>1</v>
      </c>
      <c r="L267">
        <v>2</v>
      </c>
      <c r="M267">
        <f>VLOOKUP(H267+1,SHV!U$3:V$49,2,FALSE)</f>
        <v>43</v>
      </c>
      <c r="N267" t="str" cm="1">
        <f t="array" ref="N267">INDEX(SHV!E$3:E$945,M267)</f>
        <v>SG Ottersweier/Großweier</v>
      </c>
    </row>
    <row r="268" spans="2:14" x14ac:dyDescent="0.35">
      <c r="B268">
        <f t="shared" si="54"/>
        <v>44</v>
      </c>
      <c r="C268">
        <f t="shared" si="56"/>
        <v>39</v>
      </c>
      <c r="D268" t="str" cm="1">
        <f t="array" ref="D268">IF(C268=0,INDEX(D$21:D$97,B$38+1-B268),INDEX(I$225:I$1002,C268))</f>
        <v>LL Platz 13 Rang 2</v>
      </c>
      <c r="E268" t="str" cm="1">
        <f t="array" ref="E268">IF(C268=0,INDEX(E$21:E$97,B$38+1-B268),INDEX(N$225:N$1002,C268))</f>
        <v>Murgtal Panthers</v>
      </c>
      <c r="F268">
        <f t="shared" si="51"/>
        <v>38</v>
      </c>
      <c r="G268">
        <v>-7</v>
      </c>
      <c r="H268">
        <f t="shared" si="52"/>
        <v>44</v>
      </c>
      <c r="I268" t="str">
        <f t="shared" si="57"/>
        <v>BOL Auf 1 Rang 3</v>
      </c>
      <c r="J268" t="s">
        <v>5</v>
      </c>
      <c r="K268">
        <v>1</v>
      </c>
      <c r="L268">
        <v>3</v>
      </c>
      <c r="M268">
        <f>VLOOKUP(H268+1,SHV!U$3:V$49,2,FALSE)</f>
        <v>45</v>
      </c>
      <c r="N268" t="str" cm="1">
        <f t="array" ref="N268">INDEX(SHV!E$3:E$945,M268)</f>
        <v>TSV Alemannia Freiburg-Zähringen 2</v>
      </c>
    </row>
    <row r="269" spans="2:14" x14ac:dyDescent="0.35">
      <c r="B269">
        <f t="shared" si="54"/>
        <v>45</v>
      </c>
      <c r="C269">
        <f t="shared" si="56"/>
        <v>40</v>
      </c>
      <c r="D269" t="str" cm="1">
        <f t="array" ref="D269">IF(C269=0,INDEX(D$21:D$97,B$38+1-B269),INDEX(I$225:I$1002,C269))</f>
        <v>LL Platz 14 Rang 1</v>
      </c>
      <c r="E269" t="str" cm="1">
        <f t="array" ref="E269">IF(C269=0,INDEX(E$21:E$97,B$38+1-B269),INDEX(N$225:N$1002,C269))</f>
        <v>SG Hornberg/Lauterbach/Triberg</v>
      </c>
      <c r="F269">
        <f t="shared" si="51"/>
        <v>39</v>
      </c>
      <c r="G269">
        <v>-7</v>
      </c>
      <c r="H269">
        <f t="shared" si="52"/>
        <v>45</v>
      </c>
      <c r="I269" t="str">
        <f t="shared" si="57"/>
        <v>BOL Auf 1 Rang 4</v>
      </c>
      <c r="J269" t="s">
        <v>5</v>
      </c>
      <c r="K269">
        <v>1</v>
      </c>
      <c r="L269">
        <v>4</v>
      </c>
      <c r="M269">
        <f>VLOOKUP(H269+1,SHV!U$3:V$49,2,FALSE)</f>
        <v>44</v>
      </c>
      <c r="N269" t="str" cm="1">
        <f t="array" ref="N269">INDEX(SHV!E$3:E$945,M269)</f>
        <v>TuS Altenheim 2</v>
      </c>
    </row>
    <row r="270" spans="2:14" x14ac:dyDescent="0.35">
      <c r="B270">
        <f t="shared" si="54"/>
        <v>46</v>
      </c>
      <c r="C270">
        <f t="shared" si="56"/>
        <v>41</v>
      </c>
      <c r="D270" t="str" cm="1">
        <f t="array" ref="D270">IF(C270=0,INDEX(D$21:D$97,B$38+1-B270),INDEX(I$225:I$1002,C270))</f>
        <v>LL Platz 14 Rang 2</v>
      </c>
      <c r="E270" t="str" cm="1">
        <f t="array" ref="E270">IF(C270=0,INDEX(E$21:E$97,B$38+1-B270),INDEX(N$225:N$1002,C270))</f>
        <v>DJK Singen</v>
      </c>
    </row>
    <row r="271" spans="2:14" x14ac:dyDescent="0.35">
      <c r="B271">
        <f t="shared" si="54"/>
        <v>47</v>
      </c>
      <c r="C271" t="e">
        <f t="shared" si="56"/>
        <v>#N/A</v>
      </c>
      <c r="D271" t="e" cm="1">
        <f t="array" ref="D271">IF(C271=0,INDEX(D$21:D$97,B$38+1-B271),INDEX(I$225:I$1002,C271))</f>
        <v>#N/A</v>
      </c>
      <c r="E271" t="e" cm="1">
        <f t="array" ref="E271">IF(C271=0,INDEX(E$21:E$97,B$38+1-B271),INDEX(N$225:N$1002,C271))</f>
        <v>#N/A</v>
      </c>
    </row>
    <row r="272" spans="2:14" x14ac:dyDescent="0.35">
      <c r="B272">
        <f t="shared" si="54"/>
        <v>48</v>
      </c>
      <c r="C272" t="e">
        <f t="shared" si="56"/>
        <v>#N/A</v>
      </c>
      <c r="D272" t="e" cm="1">
        <f t="array" ref="D272">IF(C272=0,INDEX(D$21:D$97,B$38+1-B272),INDEX(I$225:I$1002,C272))</f>
        <v>#N/A</v>
      </c>
      <c r="E272" t="e" cm="1">
        <f t="array" ref="E272">IF(C272=0,INDEX(E$21:E$97,B$38+1-B272),INDEX(N$225:N$1002,C272))</f>
        <v>#N/A</v>
      </c>
    </row>
    <row r="273" spans="2:5" x14ac:dyDescent="0.35">
      <c r="B273">
        <f t="shared" si="54"/>
        <v>49</v>
      </c>
      <c r="C273" t="e">
        <f t="shared" si="56"/>
        <v>#N/A</v>
      </c>
      <c r="D273" t="e" cm="1">
        <f t="array" ref="D273">IF(C273=0,INDEX(D$21:D$97,B$38+1-B273),INDEX(I$225:I$1002,C273))</f>
        <v>#N/A</v>
      </c>
      <c r="E273" t="e" cm="1">
        <f t="array" ref="E273">IF(C273=0,INDEX(E$21:E$97,B$38+1-B273),INDEX(N$225:N$1002,C273))</f>
        <v>#N/A</v>
      </c>
    </row>
    <row r="274" spans="2:5" x14ac:dyDescent="0.35">
      <c r="B274">
        <f t="shared" si="54"/>
        <v>50</v>
      </c>
      <c r="C274" t="e">
        <f t="shared" si="56"/>
        <v>#N/A</v>
      </c>
      <c r="D274" t="e" cm="1">
        <f t="array" ref="D274">IF(C274=0,INDEX(D$21:D$97,B$38+1-B274),INDEX(I$225:I$1002,C274))</f>
        <v>#N/A</v>
      </c>
      <c r="E274" t="e" cm="1">
        <f t="array" ref="E274">IF(C274=0,INDEX(E$21:E$97,B$38+1-B274),INDEX(N$225:N$1002,C274))</f>
        <v>#N/A</v>
      </c>
    </row>
    <row r="275" spans="2:5" x14ac:dyDescent="0.35">
      <c r="B275">
        <f t="shared" si="54"/>
        <v>51</v>
      </c>
      <c r="C275" t="e">
        <f t="shared" si="56"/>
        <v>#N/A</v>
      </c>
      <c r="D275" t="e" cm="1">
        <f t="array" ref="D275">IF(C275=0,INDEX(D$21:D$97,B$38+1-B275),INDEX(I$225:I$1002,C275))</f>
        <v>#N/A</v>
      </c>
      <c r="E275" t="e" cm="1">
        <f t="array" ref="E275">IF(C275=0,INDEX(E$21:E$97,B$38+1-B275),INDEX(N$225:N$1002,C275))</f>
        <v>#N/A</v>
      </c>
    </row>
    <row r="276" spans="2:5" x14ac:dyDescent="0.35">
      <c r="B276">
        <f t="shared" si="54"/>
        <v>52</v>
      </c>
      <c r="C276" t="e">
        <f t="shared" si="56"/>
        <v>#N/A</v>
      </c>
      <c r="D276" t="e" cm="1">
        <f t="array" ref="D276">IF(C276=0,INDEX(D$21:D$97,B$38+1-B276),INDEX(I$225:I$1002,C276))</f>
        <v>#N/A</v>
      </c>
      <c r="E276" t="e" cm="1">
        <f t="array" ref="E276">IF(C276=0,INDEX(E$21:E$97,B$38+1-B276),INDEX(N$225:N$1002,C276))</f>
        <v>#N/A</v>
      </c>
    </row>
    <row r="304" spans="2:2" x14ac:dyDescent="0.35">
      <c r="B304" s="1" t="s">
        <v>276</v>
      </c>
    </row>
    <row r="306" spans="2:5" x14ac:dyDescent="0.35">
      <c r="B306" t="s">
        <v>73</v>
      </c>
    </row>
    <row r="307" spans="2:5" x14ac:dyDescent="0.35">
      <c r="B307" s="7" t="s">
        <v>74</v>
      </c>
      <c r="C307">
        <f>IFERROR(VLOOKUP(B307,L3_RL!S$57:U$58,2,FALSE),0)</f>
        <v>11</v>
      </c>
      <c r="D307" t="s">
        <v>57</v>
      </c>
      <c r="E307" t="str" cm="1">
        <f t="array" ref="E307">IF(0&lt;C307,INDEX(L3_RL!E$47:E$63,C307),"")</f>
        <v>HSG Stuttgart Metzingen</v>
      </c>
    </row>
    <row r="308" spans="2:5" x14ac:dyDescent="0.35">
      <c r="B308" s="7" t="s">
        <v>75</v>
      </c>
      <c r="C308">
        <f>IFERROR(VLOOKUP(B308,L3_RL!S$57:U$58,2,FALSE),0)</f>
        <v>0</v>
      </c>
      <c r="D308" t="s">
        <v>57</v>
      </c>
      <c r="E308" t="str" cm="1">
        <f t="array" ref="E308">IF(0&lt;C308,INDEX(L3_RL!E$47:E$63,C308),"")</f>
        <v/>
      </c>
    </row>
    <row r="309" spans="2:5" x14ac:dyDescent="0.35">
      <c r="B309" s="7" t="s">
        <v>76</v>
      </c>
      <c r="C309">
        <f>IFERROR(VLOOKUP(B309,L3_RL!S$57:U$58,2,FALSE),0)</f>
        <v>0</v>
      </c>
      <c r="D309" t="s">
        <v>57</v>
      </c>
      <c r="E309" t="str" cm="1">
        <f t="array" ref="E309">IF(0&lt;C309,INDEX(L3_RL!E$47:E$63,C309),"")</f>
        <v/>
      </c>
    </row>
    <row r="311" spans="2:5" x14ac:dyDescent="0.35">
      <c r="B311" t="s">
        <v>61</v>
      </c>
    </row>
    <row r="312" spans="2:5" x14ac:dyDescent="0.35">
      <c r="B312" s="7" t="s">
        <v>62</v>
      </c>
      <c r="C312">
        <f>IFERROR(VLOOKUP(B312,L3_RL!S$62:U$75,2,FALSE),0)</f>
        <v>14</v>
      </c>
      <c r="D312" t="s">
        <v>13</v>
      </c>
      <c r="E312" s="107" t="str" cm="1">
        <f t="array" ref="E312">IF(0&lt;C312,INDEX(L3_RL!E$60:E$73,C312),"")</f>
        <v>TV Nellingen (zurückgezogen)</v>
      </c>
    </row>
    <row r="313" spans="2:5" x14ac:dyDescent="0.35">
      <c r="B313" s="7" t="s">
        <v>63</v>
      </c>
      <c r="C313">
        <f>IFERROR(VLOOKUP(B313,L3_RL!S$62:U$75,2,FALSE),0)</f>
        <v>13</v>
      </c>
      <c r="D313" t="s">
        <v>14</v>
      </c>
      <c r="E313" t="str" cm="1">
        <f t="array" ref="E313">IF(0&lt;C313,INDEX(L3_RL!E$60:E$73,C313),"")</f>
        <v>SV Hohenacker-Neustadt</v>
      </c>
    </row>
    <row r="314" spans="2:5" x14ac:dyDescent="0.35">
      <c r="B314" s="7" t="s">
        <v>64</v>
      </c>
      <c r="C314">
        <f>IFERROR(VLOOKUP(B314,L3_RL!S$62:U$75,2,FALSE),0)</f>
        <v>12</v>
      </c>
      <c r="D314" t="s">
        <v>15</v>
      </c>
      <c r="E314" t="str" cm="1">
        <f t="array" ref="E314">IF(0&lt;C314,INDEX(L3_RL!E$60:E$73,C314),"")</f>
        <v>TV 1895 Flein</v>
      </c>
    </row>
    <row r="315" spans="2:5" x14ac:dyDescent="0.35">
      <c r="B315" s="7" t="s">
        <v>65</v>
      </c>
      <c r="C315">
        <f>IFERROR(VLOOKUP(B315,L3_RL!S$62:U$75,2,FALSE),0)</f>
        <v>11</v>
      </c>
      <c r="D315" t="s">
        <v>16</v>
      </c>
      <c r="E315" t="str" cm="1">
        <f t="array" ref="E315">IF(0&lt;C315,INDEX(L3_RL!E$60:E$73,C315),"")</f>
        <v>TSV Heiningen 1892</v>
      </c>
    </row>
    <row r="316" spans="2:5" x14ac:dyDescent="0.35">
      <c r="B316" s="7" t="s">
        <v>66</v>
      </c>
      <c r="C316">
        <f>IFERROR(VLOOKUP(B316,L3_RL!S$62:U$75,2,FALSE),0)</f>
        <v>0</v>
      </c>
      <c r="D316" t="s">
        <v>17</v>
      </c>
      <c r="E316" t="str" cm="1">
        <f t="array" ref="E316">IF(0&lt;C316,INDEX(L3_RL!E$60:E$73,C316),"")</f>
        <v/>
      </c>
    </row>
    <row r="317" spans="2:5" x14ac:dyDescent="0.35">
      <c r="B317" s="7" t="s">
        <v>67</v>
      </c>
      <c r="C317">
        <f>IFERROR(VLOOKUP(B317,L3_RL!S$62:U$75,2,FALSE),0)</f>
        <v>0</v>
      </c>
      <c r="D317" t="s">
        <v>18</v>
      </c>
      <c r="E317" t="str" cm="1">
        <f t="array" ref="E317">IF(0&lt;C317,INDEX(L3_RL!E$60:E$73,C317),"")</f>
        <v/>
      </c>
    </row>
    <row r="318" spans="2:5" x14ac:dyDescent="0.35">
      <c r="B318" s="7" t="s">
        <v>68</v>
      </c>
      <c r="C318">
        <f>IFERROR(VLOOKUP(B318,L3_RL!S$62:U$75,2,FALSE),0)</f>
        <v>0</v>
      </c>
      <c r="D318" t="s">
        <v>69</v>
      </c>
      <c r="E318" t="str" cm="1">
        <f t="array" ref="E318">IF(0&lt;C318,INDEX(L3_RL!E$60:E$73,C318),"")</f>
        <v/>
      </c>
    </row>
    <row r="319" spans="2:5" x14ac:dyDescent="0.35">
      <c r="B319" s="7"/>
    </row>
    <row r="320" spans="2:5" x14ac:dyDescent="0.35">
      <c r="B320" s="7" t="s">
        <v>79</v>
      </c>
      <c r="C320">
        <f>IFERROR(VLOOKUP(B320,L3_RL!S$62:U$75,2,FALSE),0)</f>
        <v>10</v>
      </c>
      <c r="D320" t="s">
        <v>13</v>
      </c>
      <c r="E320" t="str" cm="1">
        <f t="array" ref="E320">IF(0&lt;C320,INDEX(L3_RL!E$60:E$73,C320),"")</f>
        <v>TG 88 Pforzheim</v>
      </c>
    </row>
    <row r="321" spans="2:13" x14ac:dyDescent="0.35">
      <c r="B321" s="7" t="s">
        <v>80</v>
      </c>
      <c r="C321">
        <f>IFERROR(VLOOKUP(B321,L3_RL!S$62:U$75,2,FALSE),0)</f>
        <v>0</v>
      </c>
      <c r="D321" t="s">
        <v>14</v>
      </c>
      <c r="E321" t="str" cm="1">
        <f t="array" ref="E321">IF(0&lt;C321,INDEX(L3_RL!E$60:E$73,C321),"")</f>
        <v/>
      </c>
    </row>
    <row r="322" spans="2:13" x14ac:dyDescent="0.35">
      <c r="B322" s="7"/>
    </row>
    <row r="323" spans="2:13" x14ac:dyDescent="0.35">
      <c r="B323" s="7" t="s">
        <v>81</v>
      </c>
      <c r="C323">
        <f>IFERROR(VLOOKUP(B323,L3_RL!S$62:U$75,2,FALSE),0)</f>
        <v>0</v>
      </c>
      <c r="D323" t="s">
        <v>13</v>
      </c>
      <c r="E323" t="str" cm="1">
        <f t="array" ref="E323">IF(0&lt;C323,INDEX(L3_RL!E$60:E$73,C323),"")</f>
        <v/>
      </c>
    </row>
    <row r="324" spans="2:13" x14ac:dyDescent="0.35">
      <c r="B324" s="7" t="s">
        <v>82</v>
      </c>
      <c r="C324">
        <f>IFERROR(VLOOKUP(B324,L3_RL!S$62:U$75,2,FALSE),0)</f>
        <v>0</v>
      </c>
      <c r="D324" t="s">
        <v>14</v>
      </c>
      <c r="E324" t="str" cm="1">
        <f t="array" ref="E324">IF(0&lt;C324,INDEX(L3_RL!E$60:E$73,C324),"")</f>
        <v/>
      </c>
    </row>
    <row r="325" spans="2:13" x14ac:dyDescent="0.35">
      <c r="B325" s="7"/>
    </row>
    <row r="326" spans="2:13" x14ac:dyDescent="0.35">
      <c r="B326" s="7" t="s">
        <v>494</v>
      </c>
      <c r="C326">
        <f>IFERROR(VLOOKUP(B326,L3_RL!S$62:U$75,2,FALSE),0)</f>
        <v>9</v>
      </c>
      <c r="D326" t="s">
        <v>495</v>
      </c>
      <c r="E326" t="str" cm="1">
        <f t="array" ref="E326">INDEX(L3_RL!E$60:E$136,C326)&amp;" ("&amp;INDEX(L3_RL!P$60:P$136,C326)&amp;")"</f>
        <v>SG H2Ku Herrenberg (HVW)</v>
      </c>
    </row>
    <row r="327" spans="2:13" x14ac:dyDescent="0.35">
      <c r="B327" s="7" t="s">
        <v>496</v>
      </c>
      <c r="C327">
        <f>IFERROR(VLOOKUP(B327,L3_RL!S$62:U$75,2,FALSE),0)</f>
        <v>8</v>
      </c>
      <c r="D327" t="s">
        <v>497</v>
      </c>
      <c r="E327" t="str" cm="1">
        <f t="array" ref="E327">INDEX(L3_RL!E$60:E$136,C327)&amp;" ("&amp;INDEX(L3_RL!P$60:P$136,C327)&amp;")"</f>
        <v>HG Oftersheim/Schwetzingen (BHV)</v>
      </c>
    </row>
    <row r="328" spans="2:13" x14ac:dyDescent="0.35">
      <c r="B328" s="7"/>
    </row>
    <row r="329" spans="2:13" x14ac:dyDescent="0.35">
      <c r="B329" t="s">
        <v>400</v>
      </c>
      <c r="K329" s="7" t="s">
        <v>572</v>
      </c>
    </row>
    <row r="330" spans="2:13" x14ac:dyDescent="0.35">
      <c r="B330" t="s">
        <v>7</v>
      </c>
      <c r="C330" t="s">
        <v>8</v>
      </c>
      <c r="D330" t="s">
        <v>6</v>
      </c>
      <c r="F330" t="s">
        <v>9</v>
      </c>
      <c r="G330" t="s">
        <v>6</v>
      </c>
      <c r="I330" s="99" t="s">
        <v>547</v>
      </c>
      <c r="J330" s="100" t="s">
        <v>498</v>
      </c>
      <c r="K330" s="6" t="s">
        <v>570</v>
      </c>
      <c r="L330" s="7" t="s">
        <v>571</v>
      </c>
    </row>
    <row r="331" spans="2:13" x14ac:dyDescent="0.35">
      <c r="B331">
        <v>0</v>
      </c>
      <c r="C331">
        <v>2</v>
      </c>
      <c r="D331" s="4">
        <f>(12+1-2)-C331</f>
        <v>9</v>
      </c>
      <c r="E331" s="4"/>
      <c r="F331">
        <v>2</v>
      </c>
      <c r="G331">
        <f>(12+2*10-2+1)-F331</f>
        <v>29</v>
      </c>
      <c r="I331">
        <v>0</v>
      </c>
      <c r="J331">
        <v>0</v>
      </c>
    </row>
    <row r="332" spans="2:13" x14ac:dyDescent="0.35">
      <c r="B332">
        <v>1</v>
      </c>
      <c r="C332">
        <v>2</v>
      </c>
      <c r="D332" s="4">
        <f t="shared" ref="D332:D337" si="58">(12+1-2)-C332</f>
        <v>9</v>
      </c>
      <c r="E332" s="4"/>
      <c r="F332">
        <v>2</v>
      </c>
      <c r="G332">
        <f t="shared" ref="G332:G337" si="59">(12+2*10-2+1)-F332</f>
        <v>29</v>
      </c>
      <c r="I332">
        <f>D339</f>
        <v>7</v>
      </c>
      <c r="J332">
        <f>K332-I332</f>
        <v>7</v>
      </c>
      <c r="K332" s="101">
        <f>L332-B$339</f>
        <v>14</v>
      </c>
      <c r="L332" s="1">
        <v>17</v>
      </c>
    </row>
    <row r="333" spans="2:13" x14ac:dyDescent="0.35">
      <c r="B333">
        <v>2</v>
      </c>
      <c r="C333">
        <v>2</v>
      </c>
      <c r="D333" s="4">
        <f t="shared" si="58"/>
        <v>9</v>
      </c>
      <c r="E333" s="4"/>
      <c r="F333">
        <v>2</v>
      </c>
      <c r="G333">
        <f t="shared" si="59"/>
        <v>29</v>
      </c>
      <c r="I333">
        <f>E339</f>
        <v>10</v>
      </c>
      <c r="J333">
        <f>I332-I333</f>
        <v>-3</v>
      </c>
      <c r="L333" s="1"/>
      <c r="M333" s="7" t="s">
        <v>575</v>
      </c>
    </row>
    <row r="334" spans="2:13" x14ac:dyDescent="0.35">
      <c r="B334">
        <v>3</v>
      </c>
      <c r="C334">
        <v>4</v>
      </c>
      <c r="D334" s="4">
        <f t="shared" si="58"/>
        <v>7</v>
      </c>
      <c r="E334" s="4"/>
      <c r="F334">
        <v>2</v>
      </c>
      <c r="G334">
        <f t="shared" si="59"/>
        <v>29</v>
      </c>
      <c r="I334">
        <f>I333+J332</f>
        <v>17</v>
      </c>
      <c r="J334">
        <v>0</v>
      </c>
      <c r="L334" s="1"/>
    </row>
    <row r="335" spans="2:13" x14ac:dyDescent="0.35">
      <c r="B335">
        <v>4</v>
      </c>
      <c r="C335">
        <v>4</v>
      </c>
      <c r="D335" s="4">
        <f t="shared" si="58"/>
        <v>7</v>
      </c>
      <c r="E335" s="4"/>
      <c r="F335">
        <v>4</v>
      </c>
      <c r="G335">
        <f t="shared" si="59"/>
        <v>27</v>
      </c>
      <c r="I335" s="3">
        <f>G339-1</f>
        <v>28</v>
      </c>
      <c r="J335">
        <f>K335-I335</f>
        <v>16</v>
      </c>
      <c r="K335" s="101">
        <f>L335-B$339</f>
        <v>44</v>
      </c>
      <c r="L335" s="1">
        <v>47</v>
      </c>
      <c r="M335" s="7" t="s">
        <v>575</v>
      </c>
    </row>
    <row r="336" spans="2:13" x14ac:dyDescent="0.35">
      <c r="B336">
        <v>5</v>
      </c>
      <c r="C336">
        <v>5</v>
      </c>
      <c r="D336" s="4">
        <f t="shared" si="58"/>
        <v>6</v>
      </c>
      <c r="E336" s="4"/>
      <c r="F336">
        <v>4</v>
      </c>
      <c r="G336">
        <f t="shared" si="59"/>
        <v>27</v>
      </c>
      <c r="I336" s="3">
        <f>H339-1</f>
        <v>29</v>
      </c>
      <c r="J336">
        <f>I335-I336</f>
        <v>-1</v>
      </c>
      <c r="M336" s="7" t="s">
        <v>574</v>
      </c>
    </row>
    <row r="337" spans="1:14" x14ac:dyDescent="0.35">
      <c r="B337">
        <v>6</v>
      </c>
      <c r="C337">
        <v>6</v>
      </c>
      <c r="D337" s="4">
        <f t="shared" si="58"/>
        <v>5</v>
      </c>
      <c r="E337" s="4"/>
      <c r="F337">
        <v>4</v>
      </c>
      <c r="G337">
        <f t="shared" si="59"/>
        <v>27</v>
      </c>
      <c r="I337">
        <f>I336+J335</f>
        <v>45</v>
      </c>
      <c r="J337">
        <v>0</v>
      </c>
    </row>
    <row r="338" spans="1:14" x14ac:dyDescent="0.35">
      <c r="A338" s="7" t="s">
        <v>561</v>
      </c>
      <c r="C338" s="99" t="s">
        <v>568</v>
      </c>
      <c r="D338" s="98" t="s">
        <v>569</v>
      </c>
      <c r="E338" s="98" t="s">
        <v>573</v>
      </c>
      <c r="I338" s="1">
        <v>61</v>
      </c>
      <c r="J338">
        <v>99</v>
      </c>
    </row>
    <row r="339" spans="1:14" x14ac:dyDescent="0.35">
      <c r="A339" s="7" t="s">
        <v>0</v>
      </c>
      <c r="B339" s="8">
        <f>COUNTIF(C312:C318,"&gt;0")-1</f>
        <v>3</v>
      </c>
      <c r="C339" cm="1">
        <f t="array" ref="C339">INDEX(C331:C337,$B339+1)</f>
        <v>4</v>
      </c>
      <c r="D339" s="4" cm="1">
        <f t="array" ref="D339">INDEX(D331:D337,$B339+1)</f>
        <v>7</v>
      </c>
      <c r="E339" s="4">
        <f>D339+C339-1</f>
        <v>10</v>
      </c>
      <c r="F339" cm="1">
        <f t="array" ref="F339">INDEX(F331:F337,$B339+1)</f>
        <v>2</v>
      </c>
      <c r="G339" cm="1">
        <f t="array" ref="G339">INDEX(G331:G337,$B339+1)</f>
        <v>29</v>
      </c>
      <c r="H339" s="4">
        <f>G339+F339-1</f>
        <v>30</v>
      </c>
      <c r="I339">
        <f>I338+8</f>
        <v>69</v>
      </c>
      <c r="J339">
        <f>I338-I339</f>
        <v>-8</v>
      </c>
    </row>
    <row r="340" spans="1:14" x14ac:dyDescent="0.35">
      <c r="A340" s="7" t="s">
        <v>56</v>
      </c>
      <c r="B340" s="8">
        <f>COUNTIF(C320:C321,"&gt;0")</f>
        <v>1</v>
      </c>
      <c r="D340" s="4"/>
      <c r="E340" s="4"/>
      <c r="H340" s="4"/>
    </row>
    <row r="341" spans="1:14" x14ac:dyDescent="0.35">
      <c r="A341" s="7" t="s">
        <v>55</v>
      </c>
      <c r="B341" s="8">
        <f>COUNTIF(C323:C324,"&gt;0")</f>
        <v>0</v>
      </c>
      <c r="D341" s="4"/>
      <c r="E341" s="4"/>
      <c r="H341" s="4"/>
    </row>
    <row r="342" spans="1:14" x14ac:dyDescent="0.35">
      <c r="G342" s="3"/>
      <c r="I342" s="4"/>
      <c r="J342" s="4"/>
      <c r="M342" s="4"/>
    </row>
    <row r="343" spans="1:14" x14ac:dyDescent="0.35">
      <c r="B343" s="1" t="s">
        <v>0</v>
      </c>
      <c r="C343" s="1" t="s">
        <v>12</v>
      </c>
      <c r="F343" s="1" t="s">
        <v>6</v>
      </c>
      <c r="G343" s="1" t="s">
        <v>11</v>
      </c>
      <c r="H343" s="1" t="s">
        <v>4</v>
      </c>
      <c r="M343" t="s">
        <v>200</v>
      </c>
      <c r="N343" t="s">
        <v>204</v>
      </c>
    </row>
    <row r="344" spans="1:14" x14ac:dyDescent="0.35">
      <c r="B344">
        <v>1</v>
      </c>
      <c r="C344">
        <f t="shared" ref="C344:C375" si="60">IF(B344&lt;=B$339,0,VLOOKUP(B344,$F$344:$H$471,3,FALSE))</f>
        <v>0</v>
      </c>
      <c r="D344" t="str" cm="1">
        <f t="array" ref="D344">IF(C344=0,INDEX(D$312:D$400,B$339+1-B344),INDEX(I$344:I$1016,C344))</f>
        <v>Absteiger RL 3</v>
      </c>
      <c r="E344" t="str" cm="1">
        <f t="array" ref="E344">IF(C344=0,INDEX(E$312:E$416,B$339+2-B344),INDEX(N$344:N$1016,C344))</f>
        <v>TSV Heiningen 1892</v>
      </c>
      <c r="F344">
        <f t="shared" ref="F344:F375" si="61">H344+G344+B$339</f>
        <v>4</v>
      </c>
      <c r="G344">
        <f t="shared" ref="G344:G375" si="62">VLOOKUP(H344,I$331:J$339,2,TRUE)</f>
        <v>0</v>
      </c>
      <c r="H344">
        <v>1</v>
      </c>
      <c r="I344" t="str">
        <f t="shared" ref="I344:I352" si="63">J344&amp;" Platz "&amp;K344</f>
        <v>OLW Platz 3</v>
      </c>
      <c r="J344" t="s">
        <v>1</v>
      </c>
      <c r="K344">
        <v>3</v>
      </c>
      <c r="M344">
        <f>VLOOKUP(H344+2,HVW!U$174:V$342,2,FALSE)</f>
        <v>3</v>
      </c>
      <c r="N344" t="str" cm="1">
        <f t="array" ref="N344">INDEX(HVW!E$174:E$968,M344)</f>
        <v>TSV Köngen</v>
      </c>
    </row>
    <row r="345" spans="1:14" x14ac:dyDescent="0.35">
      <c r="B345">
        <f t="shared" ref="B345:B408" si="64">1+B344</f>
        <v>2</v>
      </c>
      <c r="C345">
        <f t="shared" si="60"/>
        <v>0</v>
      </c>
      <c r="D345" t="str" cm="1">
        <f t="array" ref="D345">IF(C345=0,INDEX(D$312:D$400,B$339+1-B345),INDEX(I$344:I$1016,C345))</f>
        <v>Absteiger RL 2</v>
      </c>
      <c r="E345" t="str" cm="1">
        <f t="array" ref="E345">IF(C345=0,INDEX(E$312:E$416,B$339+2-B345),INDEX(N$344:N$1016,C345))</f>
        <v>TV 1895 Flein</v>
      </c>
      <c r="F345">
        <f t="shared" si="61"/>
        <v>5</v>
      </c>
      <c r="G345">
        <f t="shared" si="62"/>
        <v>0</v>
      </c>
      <c r="H345">
        <f t="shared" ref="H345:H408" si="65">1+H344</f>
        <v>2</v>
      </c>
      <c r="I345" t="str">
        <f t="shared" si="63"/>
        <v>OLW Platz 4</v>
      </c>
      <c r="J345" t="s">
        <v>1</v>
      </c>
      <c r="K345">
        <v>4</v>
      </c>
      <c r="M345">
        <f>VLOOKUP(H345+2,HVW!U$174:V$342,2,FALSE)</f>
        <v>4</v>
      </c>
      <c r="N345" t="str" cm="1">
        <f t="array" ref="N345">INDEX(HVW!E$174:E$968,M345)</f>
        <v>SV Salamander Kornwestheim 1894</v>
      </c>
    </row>
    <row r="346" spans="1:14" x14ac:dyDescent="0.35">
      <c r="B346">
        <f t="shared" si="64"/>
        <v>3</v>
      </c>
      <c r="C346">
        <f t="shared" si="60"/>
        <v>0</v>
      </c>
      <c r="D346" t="str" cm="1">
        <f t="array" ref="D346">IF(C346=0,INDEX(D$312:D$400,B$339+1-B346),INDEX(I$344:I$1016,C346))</f>
        <v>Absteiger RL 1</v>
      </c>
      <c r="E346" t="str" cm="1">
        <f t="array" ref="E346">IF(C346=0,INDEX(E$312:E$416,B$339+2-B346),INDEX(N$344:N$1016,C346))</f>
        <v>SV Hohenacker-Neustadt</v>
      </c>
      <c r="F346">
        <f t="shared" si="61"/>
        <v>6</v>
      </c>
      <c r="G346">
        <f t="shared" si="62"/>
        <v>0</v>
      </c>
      <c r="H346">
        <f t="shared" si="65"/>
        <v>3</v>
      </c>
      <c r="I346" t="str">
        <f t="shared" si="63"/>
        <v>OLW Platz 5</v>
      </c>
      <c r="J346" t="s">
        <v>1</v>
      </c>
      <c r="K346">
        <v>5</v>
      </c>
      <c r="M346">
        <f>VLOOKUP(H346+2,HVW!U$174:V$342,2,FALSE)</f>
        <v>5</v>
      </c>
      <c r="N346" t="str" cm="1">
        <f t="array" ref="N346">INDEX(HVW!E$174:E$968,M346)</f>
        <v>HSG Böblingen/Sindelfingen</v>
      </c>
    </row>
    <row r="347" spans="1:14" x14ac:dyDescent="0.35">
      <c r="B347">
        <f t="shared" si="64"/>
        <v>4</v>
      </c>
      <c r="C347">
        <f t="shared" si="60"/>
        <v>1</v>
      </c>
      <c r="D347" t="str" cm="1">
        <f t="array" ref="D347">IF(C347=0,INDEX(D$312:D$400,B$339+1-B347),INDEX(I$344:I$1016,C347))</f>
        <v>OLW Platz 3</v>
      </c>
      <c r="E347" t="str" cm="1">
        <f t="array" ref="E347">IF(C347=0,INDEX(E$312:E$416,B$339+1-B347),INDEX(N$344:N$1016,C347))</f>
        <v>TSV Köngen</v>
      </c>
      <c r="F347">
        <f t="shared" si="61"/>
        <v>7</v>
      </c>
      <c r="G347">
        <f t="shared" si="62"/>
        <v>0</v>
      </c>
      <c r="H347">
        <f t="shared" si="65"/>
        <v>4</v>
      </c>
      <c r="I347" t="str">
        <f t="shared" si="63"/>
        <v>OLW Platz 6</v>
      </c>
      <c r="J347" t="s">
        <v>1</v>
      </c>
      <c r="K347">
        <v>6</v>
      </c>
      <c r="M347">
        <f>VLOOKUP(H347+2,HVW!U$174:V$342,2,FALSE)</f>
        <v>6</v>
      </c>
      <c r="N347" t="str" cm="1">
        <f t="array" ref="N347">INDEX(HVW!E$174:E$968,M347)</f>
        <v>SG BBM Bietigheim</v>
      </c>
    </row>
    <row r="348" spans="1:14" x14ac:dyDescent="0.35">
      <c r="B348">
        <f t="shared" si="64"/>
        <v>5</v>
      </c>
      <c r="C348">
        <f t="shared" si="60"/>
        <v>2</v>
      </c>
      <c r="D348" t="str" cm="1">
        <f t="array" ref="D348">IF(C348=0,INDEX(D$312:D$400,B$339+1-B348),INDEX(I$344:I$1016,C348))</f>
        <v>OLW Platz 4</v>
      </c>
      <c r="E348" t="str" cm="1">
        <f t="array" ref="E348">IF(C348=0,INDEX(E$312:E$416,B$339+1-B348),INDEX(N$344:N$1016,C348))</f>
        <v>SV Salamander Kornwestheim 1894</v>
      </c>
      <c r="F348">
        <f t="shared" si="61"/>
        <v>8</v>
      </c>
      <c r="G348">
        <f t="shared" si="62"/>
        <v>0</v>
      </c>
      <c r="H348">
        <f t="shared" si="65"/>
        <v>5</v>
      </c>
      <c r="I348" t="str">
        <f t="shared" si="63"/>
        <v>OLW Platz 7</v>
      </c>
      <c r="J348" t="s">
        <v>1</v>
      </c>
      <c r="K348">
        <v>7</v>
      </c>
      <c r="M348">
        <f>VLOOKUP(H348+2,HVW!U$174:V$342,2,FALSE)</f>
        <v>7</v>
      </c>
      <c r="N348" t="str" cm="1">
        <f t="array" ref="N348">INDEX(HVW!E$174:E$968,M348)</f>
        <v>TSV Denkendorf</v>
      </c>
    </row>
    <row r="349" spans="1:14" x14ac:dyDescent="0.35">
      <c r="B349">
        <f t="shared" si="64"/>
        <v>6</v>
      </c>
      <c r="C349">
        <f t="shared" si="60"/>
        <v>3</v>
      </c>
      <c r="D349" t="str" cm="1">
        <f t="array" ref="D349">IF(C349=0,INDEX(D$312:D$400,B$339+1-B349),INDEX(I$344:I$1016,C349))</f>
        <v>OLW Platz 5</v>
      </c>
      <c r="E349" t="str" cm="1">
        <f t="array" ref="E349">IF(C349=0,INDEX(E$312:E$416,B$339+1-B349),INDEX(N$344:N$1016,C349))</f>
        <v>HSG Böblingen/Sindelfingen</v>
      </c>
      <c r="F349">
        <f t="shared" si="61"/>
        <v>9</v>
      </c>
      <c r="G349">
        <f t="shared" si="62"/>
        <v>0</v>
      </c>
      <c r="H349">
        <f t="shared" si="65"/>
        <v>6</v>
      </c>
      <c r="I349" t="str">
        <f t="shared" si="63"/>
        <v>OLW Platz 8</v>
      </c>
      <c r="J349" t="s">
        <v>1</v>
      </c>
      <c r="K349">
        <v>8</v>
      </c>
      <c r="M349">
        <f>VLOOKUP(H349+2,HVW!U$174:V$342,2,FALSE)</f>
        <v>8</v>
      </c>
      <c r="N349" t="str" cm="1">
        <f t="array" ref="N349">INDEX(HVW!E$174:E$968,M349)</f>
        <v>VfL Waiblingen Handball 2</v>
      </c>
    </row>
    <row r="350" spans="1:14" x14ac:dyDescent="0.35">
      <c r="B350">
        <f t="shared" si="64"/>
        <v>7</v>
      </c>
      <c r="C350">
        <f t="shared" si="60"/>
        <v>4</v>
      </c>
      <c r="D350" t="str" cm="1">
        <f t="array" ref="D350">IF(C350=0,INDEX(D$312:D$400,B$339+1-B350),INDEX(I$344:I$1016,C350))</f>
        <v>OLW Platz 6</v>
      </c>
      <c r="E350" t="str" cm="1">
        <f t="array" ref="E350">IF(C350=0,INDEX(E$312:E$416,B$339+1-B350),INDEX(N$344:N$1016,C350))</f>
        <v>SG BBM Bietigheim</v>
      </c>
      <c r="F350">
        <f t="shared" si="61"/>
        <v>17</v>
      </c>
      <c r="G350">
        <f t="shared" si="62"/>
        <v>7</v>
      </c>
      <c r="H350">
        <f t="shared" si="65"/>
        <v>7</v>
      </c>
      <c r="I350" t="str">
        <f t="shared" si="63"/>
        <v>OLW Platz 9</v>
      </c>
      <c r="J350" t="s">
        <v>1</v>
      </c>
      <c r="K350">
        <v>9</v>
      </c>
      <c r="M350">
        <f>VLOOKUP(H350+2,HVW!U$174:V$342,2,FALSE)</f>
        <v>9</v>
      </c>
      <c r="N350" t="str" cm="1">
        <f t="array" ref="N350">INDEX(HVW!E$174:E$968,M350)</f>
        <v>TV Gerhausen 1900</v>
      </c>
    </row>
    <row r="351" spans="1:14" x14ac:dyDescent="0.35">
      <c r="B351">
        <f t="shared" si="64"/>
        <v>8</v>
      </c>
      <c r="C351">
        <f t="shared" si="60"/>
        <v>5</v>
      </c>
      <c r="D351" t="str" cm="1">
        <f t="array" ref="D351">IF(C351=0,INDEX(D$312:D$400,B$339+1-B351),INDEX(I$344:I$1016,C351))</f>
        <v>OLW Platz 7</v>
      </c>
      <c r="E351" t="str" cm="1">
        <f t="array" ref="E351">IF(C351=0,INDEX(E$312:E$416,B$339+1-B351),INDEX(N$344:N$1016,C351))</f>
        <v>TSV Denkendorf</v>
      </c>
      <c r="F351">
        <f t="shared" si="61"/>
        <v>18</v>
      </c>
      <c r="G351">
        <f>VLOOKUP(H351,I$331:J$339,2,TRUE)</f>
        <v>7</v>
      </c>
      <c r="H351">
        <f t="shared" si="65"/>
        <v>8</v>
      </c>
      <c r="I351" t="str">
        <f t="shared" si="63"/>
        <v>OLW Platz 10</v>
      </c>
      <c r="J351" t="s">
        <v>1</v>
      </c>
      <c r="K351">
        <v>10</v>
      </c>
      <c r="M351">
        <f>VLOOKUP(H351+2,HVW!U$174:V$342,2,FALSE)</f>
        <v>10</v>
      </c>
      <c r="N351" t="str" cm="1">
        <f t="array" ref="N351">INDEX(HVW!E$174:E$968,M351)</f>
        <v>TG Biberach</v>
      </c>
    </row>
    <row r="352" spans="1:14" x14ac:dyDescent="0.35">
      <c r="B352">
        <f t="shared" si="64"/>
        <v>9</v>
      </c>
      <c r="C352">
        <f t="shared" si="60"/>
        <v>6</v>
      </c>
      <c r="D352" t="str" cm="1">
        <f t="array" ref="D352">IF(C352=0,INDEX(D$312:D$400,B$339+1-B352),INDEX(I$344:I$1016,C352))</f>
        <v>OLW Platz 8</v>
      </c>
      <c r="E352" t="str" cm="1">
        <f t="array" ref="E352">IF(C352=0,INDEX(E$312:E$416,B$339+1-B352),INDEX(N$344:N$1016,C352))</f>
        <v>VfL Waiblingen Handball 2</v>
      </c>
      <c r="F352">
        <f t="shared" si="61"/>
        <v>19</v>
      </c>
      <c r="G352">
        <f t="shared" si="62"/>
        <v>7</v>
      </c>
      <c r="H352">
        <f t="shared" si="65"/>
        <v>9</v>
      </c>
      <c r="I352" t="str">
        <f t="shared" si="63"/>
        <v>OLW Platz 11</v>
      </c>
      <c r="J352" t="s">
        <v>1</v>
      </c>
      <c r="K352">
        <v>11</v>
      </c>
      <c r="M352">
        <f>VLOOKUP(H352+2,HVW!U$174:V$342,2,FALSE)</f>
        <v>11</v>
      </c>
      <c r="N352" t="str" cm="1">
        <f t="array" ref="N352">INDEX(HVW!E$174:E$968,M352)</f>
        <v>MTG Wangen</v>
      </c>
    </row>
    <row r="353" spans="2:14" x14ac:dyDescent="0.35">
      <c r="B353">
        <f t="shared" si="64"/>
        <v>10</v>
      </c>
      <c r="C353">
        <f t="shared" si="60"/>
        <v>10</v>
      </c>
      <c r="D353" t="str" cm="1">
        <f t="array" ref="D353">IF(C353=0,INDEX(D$312:D$400,B$339+1-B353),INDEX(I$344:I$1016,C353))</f>
        <v>VL Platz 1 Rang 1</v>
      </c>
      <c r="E353" t="str" cm="1">
        <f t="array" ref="E353">IF(C353=0,INDEX(E$312:E$416,B$339+1-B353),INDEX(N$344:N$1016,C353))</f>
        <v>SG Weinstadt</v>
      </c>
      <c r="F353">
        <f t="shared" si="61"/>
        <v>10</v>
      </c>
      <c r="G353">
        <f t="shared" si="62"/>
        <v>-3</v>
      </c>
      <c r="H353">
        <f t="shared" si="65"/>
        <v>10</v>
      </c>
      <c r="I353" t="str">
        <f t="shared" ref="I353:I355" si="66">J353&amp;" Platz "&amp;K353&amp;" Rang "&amp;L353</f>
        <v>VL Platz 1 Rang 1</v>
      </c>
      <c r="J353" t="s">
        <v>2</v>
      </c>
      <c r="K353">
        <v>1</v>
      </c>
      <c r="L353">
        <v>1</v>
      </c>
      <c r="M353">
        <f>VLOOKUP(H353+2,HVW!U$174:V$342,2,FALSE)</f>
        <v>13</v>
      </c>
      <c r="N353" t="str" cm="1">
        <f t="array" ref="N353">INDEX(HVW!E$174:E$968,M353)</f>
        <v>SG Weinstadt</v>
      </c>
    </row>
    <row r="354" spans="2:14" x14ac:dyDescent="0.35">
      <c r="B354">
        <f t="shared" si="64"/>
        <v>11</v>
      </c>
      <c r="C354">
        <f t="shared" si="60"/>
        <v>11</v>
      </c>
      <c r="D354" t="str" cm="1">
        <f t="array" ref="D354">IF(C354=0,INDEX(D$312:D$400,B$339+1-B354),INDEX(I$344:I$1016,C354))</f>
        <v>VL Platz 1 Rang 2</v>
      </c>
      <c r="E354" t="str" cm="1">
        <f t="array" ref="E354">IF(C354=0,INDEX(E$312:E$416,B$339+1-B354),INDEX(N$344:N$1016,C354))</f>
        <v>HSG Bargau/Bettringen</v>
      </c>
      <c r="F354">
        <f t="shared" si="61"/>
        <v>11</v>
      </c>
      <c r="G354">
        <f t="shared" si="62"/>
        <v>-3</v>
      </c>
      <c r="H354" s="3">
        <f t="shared" si="65"/>
        <v>11</v>
      </c>
      <c r="I354" t="str">
        <f t="shared" si="66"/>
        <v>VL Platz 1 Rang 2</v>
      </c>
      <c r="J354" t="s">
        <v>2</v>
      </c>
      <c r="K354">
        <v>1</v>
      </c>
      <c r="L354">
        <v>2</v>
      </c>
      <c r="M354">
        <f>VLOOKUP(H354+2,HVW!U$174:V$342,2,FALSE)</f>
        <v>23</v>
      </c>
      <c r="N354" t="str" cm="1">
        <f t="array" ref="N354">INDEX(HVW!E$174:E$968,M354)</f>
        <v>HSG Bargau/Bettringen</v>
      </c>
    </row>
    <row r="355" spans="2:14" x14ac:dyDescent="0.35">
      <c r="B355">
        <f t="shared" si="64"/>
        <v>12</v>
      </c>
      <c r="C355">
        <f t="shared" si="60"/>
        <v>12</v>
      </c>
      <c r="D355" t="str" cm="1">
        <f t="array" ref="D355">IF(C355=0,INDEX(D$312:D$400,B$339+1-B355),INDEX(I$344:I$1016,C355))</f>
        <v>VL Platz 2 Rang 1</v>
      </c>
      <c r="E355" t="str" cm="1">
        <f t="array" ref="E355">IF(C355=0,INDEX(E$312:E$416,B$339+1-B355),INDEX(N$344:N$1016,C355))</f>
        <v>SV Leonberg/Eltingen</v>
      </c>
      <c r="F355">
        <f t="shared" si="61"/>
        <v>12</v>
      </c>
      <c r="G355">
        <f t="shared" si="62"/>
        <v>-3</v>
      </c>
      <c r="H355" s="3">
        <f t="shared" si="65"/>
        <v>12</v>
      </c>
      <c r="I355" t="str">
        <f t="shared" si="66"/>
        <v>VL Platz 2 Rang 1</v>
      </c>
      <c r="J355" t="s">
        <v>2</v>
      </c>
      <c r="K355">
        <v>2</v>
      </c>
      <c r="L355">
        <v>1</v>
      </c>
      <c r="M355">
        <f>VLOOKUP(H355+2,HVW!U$174:V$342,2,FALSE)</f>
        <v>14</v>
      </c>
      <c r="N355" t="str" cm="1">
        <f t="array" ref="N355">INDEX(HVW!E$174:E$968,M355)</f>
        <v>SV Leonberg/Eltingen</v>
      </c>
    </row>
    <row r="356" spans="2:14" x14ac:dyDescent="0.35">
      <c r="B356">
        <f t="shared" si="64"/>
        <v>13</v>
      </c>
      <c r="C356">
        <f t="shared" si="60"/>
        <v>13</v>
      </c>
      <c r="D356" t="str" cm="1">
        <f t="array" ref="D356">IF(C356=0,INDEX(D$312:D$400,B$339+1-B356),INDEX(I$344:I$1016,C356))</f>
        <v>VL Platz 2 Rang 2</v>
      </c>
      <c r="E356" t="str" cm="1">
        <f t="array" ref="E356">IF(C356=0,INDEX(E$312:E$416,B$339+1-B356),INDEX(N$344:N$1016,C356))</f>
        <v>VfL Pfullingen</v>
      </c>
      <c r="F356">
        <f t="shared" si="61"/>
        <v>13</v>
      </c>
      <c r="G356">
        <f t="shared" si="62"/>
        <v>-3</v>
      </c>
      <c r="H356" s="2">
        <f t="shared" si="65"/>
        <v>13</v>
      </c>
      <c r="I356" t="str">
        <f>J356&amp;" Platz "&amp;K356&amp;" Rang "&amp;L356</f>
        <v>VL Platz 2 Rang 2</v>
      </c>
      <c r="J356" t="s">
        <v>2</v>
      </c>
      <c r="K356">
        <v>2</v>
      </c>
      <c r="L356">
        <v>2</v>
      </c>
      <c r="M356">
        <f>VLOOKUP(H356+2,HVW!U$174:V$342,2,FALSE)</f>
        <v>24</v>
      </c>
      <c r="N356" t="str" cm="1">
        <f t="array" ref="N356">INDEX(HVW!E$174:E$968,M356)</f>
        <v>VfL Pfullingen</v>
      </c>
    </row>
    <row r="357" spans="2:14" x14ac:dyDescent="0.35">
      <c r="B357">
        <f t="shared" si="64"/>
        <v>14</v>
      </c>
      <c r="C357">
        <f t="shared" si="60"/>
        <v>14</v>
      </c>
      <c r="D357" t="str" cm="1">
        <f t="array" ref="D357">IF(C357=0,INDEX(D$312:D$400,B$339+1-B357),INDEX(I$344:I$1016,C357))</f>
        <v>VL Platz 3 Rang 1</v>
      </c>
      <c r="E357" t="str" cm="1">
        <f t="array" ref="E357">IF(C357=0,INDEX(E$312:E$416,B$339+1-B357),INDEX(N$344:N$1016,C357))</f>
        <v>SG Herbrechtingen-Bolheim</v>
      </c>
      <c r="F357">
        <f t="shared" si="61"/>
        <v>14</v>
      </c>
      <c r="G357">
        <f t="shared" si="62"/>
        <v>-3</v>
      </c>
      <c r="H357" s="2">
        <f t="shared" si="65"/>
        <v>14</v>
      </c>
      <c r="I357" t="str">
        <f t="shared" ref="I357:I420" si="67">J357&amp;" Platz "&amp;K357&amp;" Rang "&amp;L357</f>
        <v>VL Platz 3 Rang 1</v>
      </c>
      <c r="J357" t="s">
        <v>2</v>
      </c>
      <c r="K357">
        <f>K355+1</f>
        <v>3</v>
      </c>
      <c r="L357">
        <f>L355</f>
        <v>1</v>
      </c>
      <c r="M357">
        <f>VLOOKUP(H357+2,HVW!U$174:V$342,2,FALSE)</f>
        <v>25</v>
      </c>
      <c r="N357" t="str" cm="1">
        <f t="array" ref="N357">INDEX(HVW!E$174:E$968,M357)</f>
        <v>SG Herbrechtingen-Bolheim</v>
      </c>
    </row>
    <row r="358" spans="2:14" x14ac:dyDescent="0.35">
      <c r="B358">
        <f t="shared" si="64"/>
        <v>15</v>
      </c>
      <c r="C358">
        <f t="shared" si="60"/>
        <v>15</v>
      </c>
      <c r="D358" t="str" cm="1">
        <f t="array" ref="D358">IF(C358=0,INDEX(D$312:D$400,B$339+1-B358),INDEX(I$344:I$1016,C358))</f>
        <v>VL Platz 3 Rang 2</v>
      </c>
      <c r="E358" t="str" cm="1">
        <f t="array" ref="E358">IF(C358=0,INDEX(E$312:E$416,B$339+1-B358),INDEX(N$344:N$1016,C358))</f>
        <v>Handballregion Bottwar SG</v>
      </c>
      <c r="F358">
        <f t="shared" si="61"/>
        <v>15</v>
      </c>
      <c r="G358">
        <f t="shared" si="62"/>
        <v>-3</v>
      </c>
      <c r="H358">
        <f t="shared" si="65"/>
        <v>15</v>
      </c>
      <c r="I358" t="str">
        <f t="shared" si="67"/>
        <v>VL Platz 3 Rang 2</v>
      </c>
      <c r="J358" t="s">
        <v>2</v>
      </c>
      <c r="K358">
        <f t="shared" ref="K358:K371" si="68">K356+1</f>
        <v>3</v>
      </c>
      <c r="L358">
        <f t="shared" ref="L358:L371" si="69">L356</f>
        <v>2</v>
      </c>
      <c r="M358">
        <f>VLOOKUP(H358+2,HVW!U$174:V$342,2,FALSE)</f>
        <v>15</v>
      </c>
      <c r="N358" t="str" cm="1">
        <f t="array" ref="N358">INDEX(HVW!E$174:E$968,M358)</f>
        <v>Handballregion Bottwar SG</v>
      </c>
    </row>
    <row r="359" spans="2:14" x14ac:dyDescent="0.35">
      <c r="B359">
        <f t="shared" si="64"/>
        <v>16</v>
      </c>
      <c r="C359">
        <f t="shared" si="60"/>
        <v>16</v>
      </c>
      <c r="D359" t="str" cm="1">
        <f t="array" ref="D359">IF(C359=0,INDEX(D$312:D$400,B$339+1-B359),INDEX(I$344:I$1016,C359))</f>
        <v>VL Platz 4 Rang 1</v>
      </c>
      <c r="E359" t="str" cm="1">
        <f t="array" ref="E359">IF(C359=0,INDEX(E$312:E$416,B$339+1-B359),INDEX(N$344:N$1016,C359))</f>
        <v>SG Hegensberg-Liebersbronn</v>
      </c>
      <c r="F359">
        <f t="shared" si="61"/>
        <v>16</v>
      </c>
      <c r="G359">
        <f t="shared" si="62"/>
        <v>-3</v>
      </c>
      <c r="H359">
        <f t="shared" si="65"/>
        <v>16</v>
      </c>
      <c r="I359" t="str">
        <f t="shared" si="67"/>
        <v>VL Platz 4 Rang 1</v>
      </c>
      <c r="J359" t="s">
        <v>2</v>
      </c>
      <c r="K359">
        <f t="shared" si="68"/>
        <v>4</v>
      </c>
      <c r="L359">
        <f t="shared" si="69"/>
        <v>1</v>
      </c>
      <c r="M359">
        <f>VLOOKUP(H359+2,HVW!U$174:V$342,2,FALSE)</f>
        <v>26</v>
      </c>
      <c r="N359" t="str" cm="1">
        <f t="array" ref="N359">INDEX(HVW!E$174:E$968,M359)</f>
        <v>SG Hegensberg-Liebersbronn</v>
      </c>
    </row>
    <row r="360" spans="2:14" x14ac:dyDescent="0.35">
      <c r="B360">
        <f t="shared" si="64"/>
        <v>17</v>
      </c>
      <c r="C360">
        <f t="shared" si="60"/>
        <v>7</v>
      </c>
      <c r="D360" t="str" cm="1">
        <f t="array" ref="D360">IF(C360=0,INDEX(D$312:D$400,B$339+1-B360),INDEX(I$344:I$1016,C360))</f>
        <v>OLW Platz 9</v>
      </c>
      <c r="E360" t="str" cm="1">
        <f t="array" ref="E360">IF(C360=0,INDEX(E$312:E$416,B$339+1-B360),INDEX(N$344:N$1016,C360))</f>
        <v>TV Gerhausen 1900</v>
      </c>
      <c r="F360">
        <f t="shared" si="61"/>
        <v>20</v>
      </c>
      <c r="G360">
        <f t="shared" si="62"/>
        <v>0</v>
      </c>
      <c r="H360">
        <f t="shared" si="65"/>
        <v>17</v>
      </c>
      <c r="I360" t="str">
        <f t="shared" si="67"/>
        <v>VL Platz 4 Rang 2</v>
      </c>
      <c r="J360" t="s">
        <v>2</v>
      </c>
      <c r="K360">
        <f t="shared" si="68"/>
        <v>4</v>
      </c>
      <c r="L360">
        <f t="shared" si="69"/>
        <v>2</v>
      </c>
      <c r="M360">
        <f>VLOOKUP(H360+2,HVW!U$174:V$342,2,FALSE)</f>
        <v>16</v>
      </c>
      <c r="N360" t="str" cm="1">
        <f t="array" ref="N360">INDEX(HVW!E$174:E$968,M360)</f>
        <v>HC Oppenweiler/Backnang</v>
      </c>
    </row>
    <row r="361" spans="2:14" x14ac:dyDescent="0.35">
      <c r="B361">
        <f t="shared" si="64"/>
        <v>18</v>
      </c>
      <c r="C361">
        <f t="shared" si="60"/>
        <v>8</v>
      </c>
      <c r="D361" t="str" cm="1">
        <f t="array" ref="D361">IF(C361=0,INDEX(D$312:D$400,B$339+1-B361),INDEX(I$344:I$1016,C361))</f>
        <v>OLW Platz 10</v>
      </c>
      <c r="E361" t="str" cm="1">
        <f t="array" ref="E361">IF(C361=0,INDEX(E$312:E$416,B$339+1-B361),INDEX(N$344:N$1016,C361))</f>
        <v>TG Biberach</v>
      </c>
      <c r="F361">
        <f t="shared" si="61"/>
        <v>21</v>
      </c>
      <c r="G361">
        <f t="shared" si="62"/>
        <v>0</v>
      </c>
      <c r="H361">
        <f t="shared" si="65"/>
        <v>18</v>
      </c>
      <c r="I361" t="str">
        <f t="shared" si="67"/>
        <v>VL Platz 5 Rang 1</v>
      </c>
      <c r="J361" t="s">
        <v>2</v>
      </c>
      <c r="K361">
        <f t="shared" si="68"/>
        <v>5</v>
      </c>
      <c r="L361">
        <f t="shared" si="69"/>
        <v>1</v>
      </c>
      <c r="M361">
        <f>VLOOKUP(H361+2,HVW!U$174:V$342,2,FALSE)</f>
        <v>17</v>
      </c>
      <c r="N361" t="str" cm="1">
        <f t="array" ref="N361">INDEX(HVW!E$174:E$968,M361)</f>
        <v>HSG Stuttgarter Kickers/TuS Metzingen 3</v>
      </c>
    </row>
    <row r="362" spans="2:14" x14ac:dyDescent="0.35">
      <c r="B362">
        <f t="shared" si="64"/>
        <v>19</v>
      </c>
      <c r="C362">
        <f t="shared" si="60"/>
        <v>9</v>
      </c>
      <c r="D362" t="str" cm="1">
        <f t="array" ref="D362">IF(C362=0,INDEX(D$312:D$400,B$339+1-B362),INDEX(I$344:I$1016,C362))</f>
        <v>OLW Platz 11</v>
      </c>
      <c r="E362" t="str" cm="1">
        <f t="array" ref="E362">IF(C362=0,INDEX(E$312:E$416,B$339+1-B362),INDEX(N$344:N$1016,C362))</f>
        <v>MTG Wangen</v>
      </c>
      <c r="F362">
        <f t="shared" si="61"/>
        <v>22</v>
      </c>
      <c r="G362">
        <f t="shared" si="62"/>
        <v>0</v>
      </c>
      <c r="H362">
        <f t="shared" si="65"/>
        <v>19</v>
      </c>
      <c r="I362" t="str">
        <f t="shared" si="67"/>
        <v>VL Platz 5 Rang 2</v>
      </c>
      <c r="J362" t="s">
        <v>2</v>
      </c>
      <c r="K362">
        <f t="shared" si="68"/>
        <v>5</v>
      </c>
      <c r="L362">
        <f t="shared" si="69"/>
        <v>2</v>
      </c>
      <c r="M362">
        <f>VLOOKUP(H362+2,HVW!U$174:V$342,2,FALSE)</f>
        <v>27</v>
      </c>
      <c r="N362" t="str" cm="1">
        <f t="array" ref="N362">INDEX(HVW!E$174:E$968,M362)</f>
        <v>Spvgg Mössingen</v>
      </c>
    </row>
    <row r="363" spans="2:14" x14ac:dyDescent="0.35">
      <c r="B363">
        <f t="shared" si="64"/>
        <v>20</v>
      </c>
      <c r="C363">
        <f t="shared" si="60"/>
        <v>17</v>
      </c>
      <c r="D363" t="str" cm="1">
        <f t="array" ref="D363">IF(C363=0,INDEX(D$312:D$400,B$339+1-B363),INDEX(I$344:I$1016,C363))</f>
        <v>VL Platz 4 Rang 2</v>
      </c>
      <c r="E363" t="str" cm="1">
        <f t="array" ref="E363">IF(C363=0,INDEX(E$312:E$416,B$339+1-B363),INDEX(N$344:N$1016,C363))</f>
        <v>HC Oppenweiler/Backnang</v>
      </c>
      <c r="F363">
        <f t="shared" si="61"/>
        <v>23</v>
      </c>
      <c r="G363">
        <f t="shared" si="62"/>
        <v>0</v>
      </c>
      <c r="H363">
        <f t="shared" si="65"/>
        <v>20</v>
      </c>
      <c r="I363" t="str">
        <f t="shared" si="67"/>
        <v>VL Platz 6 Rang 1</v>
      </c>
      <c r="J363" t="s">
        <v>2</v>
      </c>
      <c r="K363">
        <f t="shared" si="68"/>
        <v>6</v>
      </c>
      <c r="L363">
        <f t="shared" si="69"/>
        <v>1</v>
      </c>
      <c r="M363">
        <f>VLOOKUP(H363+2,HVW!U$174:V$342,2,FALSE)</f>
        <v>18</v>
      </c>
      <c r="N363" t="str" cm="1">
        <f t="array" ref="N363">INDEX(HVW!E$174:E$968,M363)</f>
        <v>HSG Heilbronn</v>
      </c>
    </row>
    <row r="364" spans="2:14" x14ac:dyDescent="0.35">
      <c r="B364">
        <f t="shared" si="64"/>
        <v>21</v>
      </c>
      <c r="C364">
        <f t="shared" si="60"/>
        <v>18</v>
      </c>
      <c r="D364" t="str" cm="1">
        <f t="array" ref="D364">IF(C364=0,INDEX(D$312:D$400,B$339+1-B364),INDEX(I$344:I$1016,C364))</f>
        <v>VL Platz 5 Rang 1</v>
      </c>
      <c r="E364" t="str" cm="1">
        <f t="array" ref="E364">IF(C364=0,INDEX(E$312:E$416,B$339+1-B364),INDEX(N$344:N$1016,C364))</f>
        <v>HSG Stuttgarter Kickers/TuS Metzingen 3</v>
      </c>
      <c r="F364">
        <f t="shared" si="61"/>
        <v>24</v>
      </c>
      <c r="G364">
        <f t="shared" si="62"/>
        <v>0</v>
      </c>
      <c r="H364">
        <f t="shared" si="65"/>
        <v>21</v>
      </c>
      <c r="I364" t="str">
        <f t="shared" si="67"/>
        <v>VL Platz 6 Rang 2</v>
      </c>
      <c r="J364" t="s">
        <v>2</v>
      </c>
      <c r="K364">
        <f t="shared" si="68"/>
        <v>6</v>
      </c>
      <c r="L364">
        <f t="shared" si="69"/>
        <v>2</v>
      </c>
      <c r="M364">
        <f>VLOOKUP(H364+2,HVW!U$174:V$342,2,FALSE)</f>
        <v>28</v>
      </c>
      <c r="N364" t="str" cm="1">
        <f t="array" ref="N364">INDEX(HVW!E$174:E$968,M364)</f>
        <v>SG Hofen/Hüttlingen</v>
      </c>
    </row>
    <row r="365" spans="2:14" x14ac:dyDescent="0.35">
      <c r="B365">
        <f t="shared" si="64"/>
        <v>22</v>
      </c>
      <c r="C365">
        <f t="shared" si="60"/>
        <v>19</v>
      </c>
      <c r="D365" t="str" cm="1">
        <f t="array" ref="D365">IF(C365=0,INDEX(D$312:D$400,B$339+1-B365),INDEX(I$344:I$1016,C365))</f>
        <v>VL Platz 5 Rang 2</v>
      </c>
      <c r="E365" t="str" cm="1">
        <f t="array" ref="E365">IF(C365=0,INDEX(E$312:E$416,B$339+1-B365),INDEX(N$344:N$1016,C365))</f>
        <v>Spvgg Mössingen</v>
      </c>
      <c r="F365">
        <f t="shared" si="61"/>
        <v>25</v>
      </c>
      <c r="G365">
        <f t="shared" si="62"/>
        <v>0</v>
      </c>
      <c r="H365">
        <f t="shared" si="65"/>
        <v>22</v>
      </c>
      <c r="I365" t="str">
        <f t="shared" si="67"/>
        <v>VL Platz 7 Rang 1</v>
      </c>
      <c r="J365" t="s">
        <v>2</v>
      </c>
      <c r="K365">
        <f t="shared" si="68"/>
        <v>7</v>
      </c>
      <c r="L365">
        <f t="shared" si="69"/>
        <v>1</v>
      </c>
      <c r="M365">
        <f>VLOOKUP(H365+2,HVW!U$174:V$342,2,FALSE)</f>
        <v>29</v>
      </c>
      <c r="N365" t="str" cm="1">
        <f t="array" ref="N365">INDEX(HVW!E$174:E$968,M365)</f>
        <v>TSV Neckartenzlingen</v>
      </c>
    </row>
    <row r="366" spans="2:14" x14ac:dyDescent="0.35">
      <c r="B366">
        <f t="shared" si="64"/>
        <v>23</v>
      </c>
      <c r="C366">
        <f t="shared" si="60"/>
        <v>20</v>
      </c>
      <c r="D366" t="str" cm="1">
        <f t="array" ref="D366">IF(C366=0,INDEX(D$312:D$400,B$339+1-B366),INDEX(I$344:I$1016,C366))</f>
        <v>VL Platz 6 Rang 1</v>
      </c>
      <c r="E366" t="str" cm="1">
        <f t="array" ref="E366">IF(C366=0,INDEX(E$312:E$416,B$339+1-B366),INDEX(N$344:N$1016,C366))</f>
        <v>HSG Heilbronn</v>
      </c>
      <c r="F366">
        <f t="shared" si="61"/>
        <v>26</v>
      </c>
      <c r="G366">
        <f t="shared" si="62"/>
        <v>0</v>
      </c>
      <c r="H366">
        <f t="shared" si="65"/>
        <v>23</v>
      </c>
      <c r="I366" t="str">
        <f t="shared" si="67"/>
        <v>VL Platz 7 Rang 2</v>
      </c>
      <c r="J366" t="s">
        <v>2</v>
      </c>
      <c r="K366">
        <f t="shared" si="68"/>
        <v>7</v>
      </c>
      <c r="L366">
        <f t="shared" si="69"/>
        <v>2</v>
      </c>
      <c r="M366">
        <f>VLOOKUP(H366+2,HVW!U$174:V$342,2,FALSE)</f>
        <v>19</v>
      </c>
      <c r="N366" t="str" cm="1">
        <f t="array" ref="N366">INDEX(HVW!E$174:E$968,M366)</f>
        <v>VfL Nagold</v>
      </c>
    </row>
    <row r="367" spans="2:14" x14ac:dyDescent="0.35">
      <c r="B367">
        <f t="shared" si="64"/>
        <v>24</v>
      </c>
      <c r="C367">
        <f t="shared" si="60"/>
        <v>21</v>
      </c>
      <c r="D367" t="str" cm="1">
        <f t="array" ref="D367">IF(C367=0,INDEX(D$312:D$400,B$339+1-B367),INDEX(I$344:I$1016,C367))</f>
        <v>VL Platz 6 Rang 2</v>
      </c>
      <c r="E367" t="str" cm="1">
        <f t="array" ref="E367">IF(C367=0,INDEX(E$312:E$416,B$339+1-B367),INDEX(N$344:N$1016,C367))</f>
        <v>SG Hofen/Hüttlingen</v>
      </c>
      <c r="F367">
        <f t="shared" si="61"/>
        <v>27</v>
      </c>
      <c r="G367">
        <f t="shared" si="62"/>
        <v>0</v>
      </c>
      <c r="H367">
        <f t="shared" si="65"/>
        <v>24</v>
      </c>
      <c r="I367" t="str">
        <f t="shared" si="67"/>
        <v>VL Platz 8 Rang 1</v>
      </c>
      <c r="J367" t="s">
        <v>2</v>
      </c>
      <c r="K367">
        <f t="shared" si="68"/>
        <v>8</v>
      </c>
      <c r="L367">
        <f t="shared" si="69"/>
        <v>1</v>
      </c>
      <c r="M367">
        <f>VLOOKUP(H367+2,HVW!U$174:V$342,2,FALSE)</f>
        <v>30</v>
      </c>
      <c r="N367" t="str" cm="1">
        <f t="array" ref="N367">INDEX(HVW!E$174:E$968,M367)</f>
        <v>SG Ober-/Unterhausen</v>
      </c>
    </row>
    <row r="368" spans="2:14" x14ac:dyDescent="0.35">
      <c r="B368">
        <f t="shared" si="64"/>
        <v>25</v>
      </c>
      <c r="C368">
        <f t="shared" si="60"/>
        <v>22</v>
      </c>
      <c r="D368" t="str" cm="1">
        <f t="array" ref="D368">IF(C368=0,INDEX(D$312:D$400,B$339+1-B368),INDEX(I$344:I$1016,C368))</f>
        <v>VL Platz 7 Rang 1</v>
      </c>
      <c r="E368" t="str" cm="1">
        <f t="array" ref="E368">IF(C368=0,INDEX(E$312:E$416,B$339+1-B368),INDEX(N$344:N$1016,C368))</f>
        <v>TSV Neckartenzlingen</v>
      </c>
      <c r="F368">
        <f t="shared" si="61"/>
        <v>28</v>
      </c>
      <c r="G368">
        <f t="shared" si="62"/>
        <v>0</v>
      </c>
      <c r="H368">
        <f t="shared" si="65"/>
        <v>25</v>
      </c>
      <c r="I368" t="str">
        <f t="shared" si="67"/>
        <v>VL Platz 8 Rang 2</v>
      </c>
      <c r="J368" t="s">
        <v>2</v>
      </c>
      <c r="K368">
        <f t="shared" si="68"/>
        <v>8</v>
      </c>
      <c r="L368">
        <f t="shared" si="69"/>
        <v>2</v>
      </c>
      <c r="M368">
        <f>VLOOKUP(H368+2,HVW!U$174:V$342,2,FALSE)</f>
        <v>20</v>
      </c>
      <c r="N368" t="str" cm="1">
        <f t="array" ref="N368">INDEX(HVW!E$174:E$968,M368)</f>
        <v>TSV Alfdorf/Lorch/Waldhausen</v>
      </c>
    </row>
    <row r="369" spans="2:14" x14ac:dyDescent="0.35">
      <c r="B369">
        <f t="shared" si="64"/>
        <v>26</v>
      </c>
      <c r="C369">
        <f t="shared" si="60"/>
        <v>23</v>
      </c>
      <c r="D369" t="str" cm="1">
        <f t="array" ref="D369">IF(C369=0,INDEX(D$312:D$400,B$339+1-B369),INDEX(I$344:I$1016,C369))</f>
        <v>VL Platz 7 Rang 2</v>
      </c>
      <c r="E369" t="str" cm="1">
        <f t="array" ref="E369">IF(C369=0,INDEX(E$312:E$416,B$339+1-B369),INDEX(N$344:N$1016,C369))</f>
        <v>VfL Nagold</v>
      </c>
      <c r="F369">
        <f t="shared" si="61"/>
        <v>29</v>
      </c>
      <c r="G369">
        <f t="shared" si="62"/>
        <v>0</v>
      </c>
      <c r="H369">
        <f t="shared" si="65"/>
        <v>26</v>
      </c>
      <c r="I369" t="str">
        <f t="shared" si="67"/>
        <v>VL Platz 9 Rang 1</v>
      </c>
      <c r="J369" t="s">
        <v>2</v>
      </c>
      <c r="K369">
        <f t="shared" si="68"/>
        <v>9</v>
      </c>
      <c r="L369">
        <f t="shared" si="69"/>
        <v>1</v>
      </c>
      <c r="M369">
        <f>VLOOKUP(H369+2,HVW!U$174:V$342,2,FALSE)</f>
        <v>31</v>
      </c>
      <c r="N369" t="str" cm="1">
        <f t="array" ref="N369">INDEX(HVW!E$174:E$968,M369)</f>
        <v>SC Lehr</v>
      </c>
    </row>
    <row r="370" spans="2:14" x14ac:dyDescent="0.35">
      <c r="B370">
        <f t="shared" si="64"/>
        <v>27</v>
      </c>
      <c r="C370">
        <f t="shared" si="60"/>
        <v>24</v>
      </c>
      <c r="D370" t="str" cm="1">
        <f t="array" ref="D370">IF(C370=0,INDEX(D$312:D$400,B$339+1-B370),INDEX(I$344:I$1016,C370))</f>
        <v>VL Platz 8 Rang 1</v>
      </c>
      <c r="E370" t="str" cm="1">
        <f t="array" ref="E370">IF(C370=0,INDEX(E$312:E$416,B$339+1-B370),INDEX(N$344:N$1016,C370))</f>
        <v>SG Ober-/Unterhausen</v>
      </c>
      <c r="F370">
        <f t="shared" si="61"/>
        <v>30</v>
      </c>
      <c r="G370">
        <f t="shared" si="62"/>
        <v>0</v>
      </c>
      <c r="H370">
        <f t="shared" si="65"/>
        <v>27</v>
      </c>
      <c r="I370" t="str">
        <f t="shared" si="67"/>
        <v>VL Platz 9 Rang 2</v>
      </c>
      <c r="J370" t="s">
        <v>2</v>
      </c>
      <c r="K370">
        <f t="shared" si="68"/>
        <v>9</v>
      </c>
      <c r="L370">
        <f t="shared" si="69"/>
        <v>2</v>
      </c>
      <c r="M370">
        <f>VLOOKUP(H370+2,HVW!U$174:V$342,2,FALSE)</f>
        <v>21</v>
      </c>
      <c r="N370" t="str" cm="1">
        <f t="array" ref="N370">INDEX(HVW!E$174:E$968,M370)</f>
        <v>TV Weilstetten</v>
      </c>
    </row>
    <row r="371" spans="2:14" x14ac:dyDescent="0.35">
      <c r="B371">
        <f t="shared" si="64"/>
        <v>28</v>
      </c>
      <c r="C371">
        <f t="shared" si="60"/>
        <v>25</v>
      </c>
      <c r="D371" t="str" cm="1">
        <f t="array" ref="D371">IF(C371=0,INDEX(D$312:D$400,B$339+1-B371),INDEX(I$344:I$1016,C371))</f>
        <v>VL Platz 8 Rang 2</v>
      </c>
      <c r="E371" t="str" cm="1">
        <f t="array" ref="E371">IF(C371=0,INDEX(E$312:E$416,B$339+1-B371),INDEX(N$344:N$1016,C371))</f>
        <v>TSV Alfdorf/Lorch/Waldhausen</v>
      </c>
      <c r="F371">
        <f t="shared" si="61"/>
        <v>47</v>
      </c>
      <c r="G371">
        <f t="shared" si="62"/>
        <v>16</v>
      </c>
      <c r="H371">
        <f t="shared" si="65"/>
        <v>28</v>
      </c>
      <c r="I371" t="str">
        <f t="shared" si="67"/>
        <v>VL Platz 10 Rang 1</v>
      </c>
      <c r="J371" t="s">
        <v>2</v>
      </c>
      <c r="K371">
        <f t="shared" si="68"/>
        <v>10</v>
      </c>
      <c r="L371">
        <f t="shared" si="69"/>
        <v>1</v>
      </c>
      <c r="M371">
        <f>VLOOKUP(H371+2,HVW!U$174:V$342,2,FALSE)</f>
        <v>32</v>
      </c>
      <c r="N371" t="str" cm="1">
        <f t="array" ref="N371">INDEX(HVW!E$174:E$968,M371)</f>
        <v>HSG Winzingen-Wißgoldingen-Donzdorf</v>
      </c>
    </row>
    <row r="372" spans="2:14" x14ac:dyDescent="0.35">
      <c r="B372">
        <f t="shared" si="64"/>
        <v>29</v>
      </c>
      <c r="C372">
        <f t="shared" si="60"/>
        <v>26</v>
      </c>
      <c r="D372" t="str" cm="1">
        <f t="array" ref="D372">IF(C372=0,INDEX(D$312:D$400,B$339+1-B372),INDEX(I$344:I$1016,C372))</f>
        <v>VL Platz 9 Rang 1</v>
      </c>
      <c r="E372" t="str" cm="1">
        <f t="array" ref="E372">IF(C372=0,INDEX(E$312:E$416,B$339+1-B372),INDEX(N$344:N$1016,C372))</f>
        <v>SC Lehr</v>
      </c>
      <c r="F372">
        <f t="shared" si="61"/>
        <v>31</v>
      </c>
      <c r="G372">
        <f t="shared" si="62"/>
        <v>-1</v>
      </c>
      <c r="H372">
        <f t="shared" si="65"/>
        <v>29</v>
      </c>
      <c r="I372" t="str">
        <f t="shared" si="67"/>
        <v>LL Platz 1 Rang 1</v>
      </c>
      <c r="J372" t="s">
        <v>3</v>
      </c>
      <c r="K372">
        <v>1</v>
      </c>
      <c r="L372">
        <v>1</v>
      </c>
      <c r="M372">
        <f>VLOOKUP(H372+2,HVW!U$174:V$342,2,FALSE)</f>
        <v>63</v>
      </c>
      <c r="N372" t="str" cm="1">
        <f t="array" ref="N372">INDEX(HVW!E$174:E$968,M372)</f>
        <v>SG Argental</v>
      </c>
    </row>
    <row r="373" spans="2:14" x14ac:dyDescent="0.35">
      <c r="B373">
        <f t="shared" si="64"/>
        <v>30</v>
      </c>
      <c r="C373">
        <f t="shared" si="60"/>
        <v>27</v>
      </c>
      <c r="D373" t="str" cm="1">
        <f t="array" ref="D373">IF(C373=0,INDEX(D$312:D$400,B$339+1-B373),INDEX(I$344:I$1016,C373))</f>
        <v>VL Platz 9 Rang 2</v>
      </c>
      <c r="E373" t="str" cm="1">
        <f t="array" ref="E373">IF(C373=0,INDEX(E$312:E$416,B$339+1-B373),INDEX(N$344:N$1016,C373))</f>
        <v>TV Weilstetten</v>
      </c>
      <c r="F373">
        <f t="shared" si="61"/>
        <v>32</v>
      </c>
      <c r="G373">
        <f t="shared" si="62"/>
        <v>-1</v>
      </c>
      <c r="H373">
        <f t="shared" si="65"/>
        <v>30</v>
      </c>
      <c r="I373" t="str">
        <f t="shared" si="67"/>
        <v>LL Platz 1 Rang 2</v>
      </c>
      <c r="J373" t="s">
        <v>3</v>
      </c>
      <c r="K373">
        <v>1</v>
      </c>
      <c r="L373">
        <v>2</v>
      </c>
      <c r="M373">
        <f>VLOOKUP(H373+2,HVW!U$174:V$342,2,FALSE)</f>
        <v>33</v>
      </c>
      <c r="N373" t="str" cm="1">
        <f t="array" ref="N373">INDEX(HVW!E$174:E$968,M373)</f>
        <v>SG Degmarn-Oedheim</v>
      </c>
    </row>
    <row r="374" spans="2:14" x14ac:dyDescent="0.35">
      <c r="B374">
        <f t="shared" si="64"/>
        <v>31</v>
      </c>
      <c r="C374">
        <f t="shared" si="60"/>
        <v>29</v>
      </c>
      <c r="D374" t="str" cm="1">
        <f t="array" ref="D374">IF(C374=0,INDEX(D$312:D$400,B$339+1-B374),INDEX(I$344:I$1016,C374))</f>
        <v>LL Platz 1 Rang 1</v>
      </c>
      <c r="E374" t="str" cm="1">
        <f t="array" ref="E374">IF(C374=0,INDEX(E$312:E$416,B$339+1-B374),INDEX(N$344:N$1016,C374))</f>
        <v>SG Argental</v>
      </c>
      <c r="F374">
        <f t="shared" si="61"/>
        <v>33</v>
      </c>
      <c r="G374">
        <f t="shared" si="62"/>
        <v>-1</v>
      </c>
      <c r="H374">
        <f t="shared" si="65"/>
        <v>31</v>
      </c>
      <c r="I374" t="str">
        <f t="shared" si="67"/>
        <v>LL Platz 1 Rang 3</v>
      </c>
      <c r="J374" t="s">
        <v>3</v>
      </c>
      <c r="K374">
        <v>1</v>
      </c>
      <c r="L374">
        <v>3</v>
      </c>
      <c r="M374">
        <f>VLOOKUP(H374+2,HVW!U$174:V$342,2,FALSE)</f>
        <v>53</v>
      </c>
      <c r="N374" t="str" cm="1">
        <f t="array" ref="N374">INDEX(HVW!E$174:E$968,M374)</f>
        <v>TSV Neuhausen/F. 1898</v>
      </c>
    </row>
    <row r="375" spans="2:14" x14ac:dyDescent="0.35">
      <c r="B375">
        <f t="shared" si="64"/>
        <v>32</v>
      </c>
      <c r="C375">
        <f t="shared" si="60"/>
        <v>30</v>
      </c>
      <c r="D375" t="str" cm="1">
        <f t="array" ref="D375">IF(C375=0,INDEX(D$312:D$400,B$339+1-B375),INDEX(I$344:I$1016,C375))</f>
        <v>LL Platz 1 Rang 2</v>
      </c>
      <c r="E375" t="str" cm="1">
        <f t="array" ref="E375">IF(C375=0,INDEX(E$312:E$416,B$339+1-B375),INDEX(N$344:N$1016,C375))</f>
        <v>SG Degmarn-Oedheim</v>
      </c>
      <c r="F375">
        <f t="shared" si="61"/>
        <v>34</v>
      </c>
      <c r="G375">
        <f t="shared" si="62"/>
        <v>-1</v>
      </c>
      <c r="H375">
        <f t="shared" si="65"/>
        <v>32</v>
      </c>
      <c r="I375" t="str">
        <f t="shared" si="67"/>
        <v>LL Platz 1 Rang 4</v>
      </c>
      <c r="J375" t="s">
        <v>3</v>
      </c>
      <c r="K375">
        <v>1</v>
      </c>
      <c r="L375">
        <v>4</v>
      </c>
      <c r="M375">
        <f>VLOOKUP(H375+2,HVW!U$174:V$342,2,FALSE)</f>
        <v>43</v>
      </c>
      <c r="N375" t="str" cm="1">
        <f t="array" ref="N375">INDEX(HVW!E$174:E$968,M375)</f>
        <v>Hbi Weilimdorf/Feuerbach</v>
      </c>
    </row>
    <row r="376" spans="2:14" x14ac:dyDescent="0.35">
      <c r="B376">
        <f t="shared" si="64"/>
        <v>33</v>
      </c>
      <c r="C376">
        <f t="shared" ref="C376:C407" si="70">IF(B376&lt;=B$339,0,VLOOKUP(B376,$F$344:$H$471,3,FALSE))</f>
        <v>31</v>
      </c>
      <c r="D376" t="str" cm="1">
        <f t="array" ref="D376">IF(C376=0,INDEX(D$312:D$400,B$339+1-B376),INDEX(I$344:I$1016,C376))</f>
        <v>LL Platz 1 Rang 3</v>
      </c>
      <c r="E376" t="str" cm="1">
        <f t="array" ref="E376">IF(C376=0,INDEX(E$312:E$416,B$339+1-B376),INDEX(N$344:N$1016,C376))</f>
        <v>TSV Neuhausen/F. 1898</v>
      </c>
      <c r="F376">
        <f t="shared" ref="F376:F407" si="71">H376+G376+B$339</f>
        <v>35</v>
      </c>
      <c r="G376">
        <f t="shared" ref="G376:G407" si="72">VLOOKUP(H376,I$331:J$339,2,TRUE)</f>
        <v>-1</v>
      </c>
      <c r="H376">
        <f t="shared" si="65"/>
        <v>33</v>
      </c>
      <c r="I376" t="str">
        <f t="shared" si="67"/>
        <v>LL Platz 2 Rang 1</v>
      </c>
      <c r="J376" t="s">
        <v>3</v>
      </c>
      <c r="K376">
        <f t="shared" ref="K376:K377" si="73">K374+1</f>
        <v>2</v>
      </c>
      <c r="L376">
        <v>1</v>
      </c>
      <c r="M376">
        <f>VLOOKUP(H376+2,HVW!U$174:V$342,2,FALSE)</f>
        <v>34</v>
      </c>
      <c r="N376" t="str" cm="1">
        <f t="array" ref="N376">INDEX(HVW!E$174:E$968,M376)</f>
        <v>SG Schozach-Bottwartal 2</v>
      </c>
    </row>
    <row r="377" spans="2:14" x14ac:dyDescent="0.35">
      <c r="B377">
        <f t="shared" si="64"/>
        <v>34</v>
      </c>
      <c r="C377">
        <f t="shared" si="70"/>
        <v>32</v>
      </c>
      <c r="D377" t="str" cm="1">
        <f t="array" ref="D377">IF(C377=0,INDEX(D$312:D$400,B$339+1-B377),INDEX(I$344:I$1016,C377))</f>
        <v>LL Platz 1 Rang 4</v>
      </c>
      <c r="E377" t="str" cm="1">
        <f t="array" ref="E377">IF(C377=0,INDEX(E$312:E$416,B$339+1-B377),INDEX(N$344:N$1016,C377))</f>
        <v>Hbi Weilimdorf/Feuerbach</v>
      </c>
      <c r="F377">
        <f t="shared" si="71"/>
        <v>36</v>
      </c>
      <c r="G377">
        <f t="shared" si="72"/>
        <v>-1</v>
      </c>
      <c r="H377">
        <f t="shared" si="65"/>
        <v>34</v>
      </c>
      <c r="I377" t="str">
        <f t="shared" si="67"/>
        <v>LL Platz 2 Rang 2</v>
      </c>
      <c r="J377" t="s">
        <v>3</v>
      </c>
      <c r="K377">
        <f t="shared" si="73"/>
        <v>2</v>
      </c>
      <c r="L377">
        <v>2</v>
      </c>
      <c r="M377">
        <f>VLOOKUP(H377+2,HVW!U$174:V$342,2,FALSE)</f>
        <v>64</v>
      </c>
      <c r="N377" t="str" cm="1">
        <f t="array" ref="N377">INDEX(HVW!E$174:E$968,M377)</f>
        <v>HSG Owen-Lenningen</v>
      </c>
    </row>
    <row r="378" spans="2:14" x14ac:dyDescent="0.35">
      <c r="B378">
        <f t="shared" si="64"/>
        <v>35</v>
      </c>
      <c r="C378">
        <f t="shared" si="70"/>
        <v>33</v>
      </c>
      <c r="D378" t="str" cm="1">
        <f t="array" ref="D378">IF(C378=0,INDEX(D$312:D$400,B$339+1-B378),INDEX(I$344:I$1016,C378))</f>
        <v>LL Platz 2 Rang 1</v>
      </c>
      <c r="E378" t="str" cm="1">
        <f t="array" ref="E378">IF(C378=0,INDEX(E$312:E$416,B$339+1-B378),INDEX(N$344:N$1016,C378))</f>
        <v>SG Schozach-Bottwartal 2</v>
      </c>
      <c r="F378">
        <f t="shared" si="71"/>
        <v>37</v>
      </c>
      <c r="G378">
        <f t="shared" si="72"/>
        <v>-1</v>
      </c>
      <c r="H378">
        <f t="shared" si="65"/>
        <v>35</v>
      </c>
      <c r="I378" t="str">
        <f t="shared" si="67"/>
        <v>LL Platz 2 Rang 3</v>
      </c>
      <c r="J378" t="s">
        <v>3</v>
      </c>
      <c r="K378">
        <v>2</v>
      </c>
      <c r="L378">
        <v>3</v>
      </c>
      <c r="M378">
        <f>VLOOKUP(H378+2,HVW!U$174:V$342,2,FALSE)</f>
        <v>54</v>
      </c>
      <c r="N378" t="str" cm="1">
        <f t="array" ref="N378">INDEX(HVW!E$174:E$968,M378)</f>
        <v>HSG Winterbach/Weiler</v>
      </c>
    </row>
    <row r="379" spans="2:14" x14ac:dyDescent="0.35">
      <c r="B379">
        <f t="shared" si="64"/>
        <v>36</v>
      </c>
      <c r="C379">
        <f t="shared" si="70"/>
        <v>34</v>
      </c>
      <c r="D379" t="str" cm="1">
        <f t="array" ref="D379">IF(C379=0,INDEX(D$312:D$400,B$339+1-B379),INDEX(I$344:I$1016,C379))</f>
        <v>LL Platz 2 Rang 2</v>
      </c>
      <c r="E379" t="str" cm="1">
        <f t="array" ref="E379">IF(C379=0,INDEX(E$312:E$416,B$339+1-B379),INDEX(N$344:N$1016,C379))</f>
        <v>HSG Owen-Lenningen</v>
      </c>
      <c r="F379">
        <f t="shared" si="71"/>
        <v>38</v>
      </c>
      <c r="G379">
        <f t="shared" si="72"/>
        <v>-1</v>
      </c>
      <c r="H379">
        <f t="shared" si="65"/>
        <v>36</v>
      </c>
      <c r="I379" t="str">
        <f t="shared" si="67"/>
        <v>LL Platz 2 Rang 4</v>
      </c>
      <c r="J379" t="s">
        <v>3</v>
      </c>
      <c r="K379">
        <v>2</v>
      </c>
      <c r="L379">
        <v>4</v>
      </c>
      <c r="M379">
        <f>VLOOKUP(H379+2,HVW!U$174:V$342,2,FALSE)</f>
        <v>44</v>
      </c>
      <c r="N379" t="str" cm="1">
        <f t="array" ref="N379">INDEX(HVW!E$174:E$968,M379)</f>
        <v>HSG Baar</v>
      </c>
    </row>
    <row r="380" spans="2:14" x14ac:dyDescent="0.35">
      <c r="B380">
        <f t="shared" si="64"/>
        <v>37</v>
      </c>
      <c r="C380">
        <f t="shared" si="70"/>
        <v>35</v>
      </c>
      <c r="D380" t="str" cm="1">
        <f t="array" ref="D380">IF(C380=0,INDEX(D$312:D$400,B$339+1-B380),INDEX(I$344:I$1016,C380))</f>
        <v>LL Platz 2 Rang 3</v>
      </c>
      <c r="E380" t="str" cm="1">
        <f t="array" ref="E380">IF(C380=0,INDEX(E$312:E$416,B$339+1-B380),INDEX(N$344:N$1016,C380))</f>
        <v>HSG Winterbach/Weiler</v>
      </c>
      <c r="F380">
        <f t="shared" si="71"/>
        <v>39</v>
      </c>
      <c r="G380">
        <f t="shared" si="72"/>
        <v>-1</v>
      </c>
      <c r="H380">
        <f t="shared" si="65"/>
        <v>37</v>
      </c>
      <c r="I380" t="str">
        <f t="shared" si="67"/>
        <v>LL Platz 3 Rang 1</v>
      </c>
      <c r="J380" t="s">
        <v>3</v>
      </c>
      <c r="K380">
        <v>3</v>
      </c>
      <c r="L380">
        <v>1</v>
      </c>
      <c r="M380">
        <f>VLOOKUP(H380+2,HVW!U$174:V$342,2,FALSE)</f>
        <v>45</v>
      </c>
      <c r="N380" t="str" cm="1">
        <f t="array" ref="N380">INDEX(HVW!E$174:E$968,M380)</f>
        <v>SG Tübingen</v>
      </c>
    </row>
    <row r="381" spans="2:14" x14ac:dyDescent="0.35">
      <c r="B381">
        <f t="shared" si="64"/>
        <v>38</v>
      </c>
      <c r="C381">
        <f t="shared" si="70"/>
        <v>36</v>
      </c>
      <c r="D381" t="str" cm="1">
        <f t="array" ref="D381">IF(C381=0,INDEX(D$312:D$400,B$339+1-B381),INDEX(I$344:I$1016,C381))</f>
        <v>LL Platz 2 Rang 4</v>
      </c>
      <c r="E381" t="str" cm="1">
        <f t="array" ref="E381">IF(C381=0,INDEX(E$312:E$416,B$339+1-B381),INDEX(N$344:N$1016,C381))</f>
        <v>HSG Baar</v>
      </c>
      <c r="F381">
        <f t="shared" si="71"/>
        <v>40</v>
      </c>
      <c r="G381">
        <f t="shared" si="72"/>
        <v>-1</v>
      </c>
      <c r="H381">
        <f t="shared" si="65"/>
        <v>38</v>
      </c>
      <c r="I381" t="str">
        <f t="shared" si="67"/>
        <v>LL Platz 3 Rang 2</v>
      </c>
      <c r="J381" t="s">
        <v>3</v>
      </c>
      <c r="K381">
        <v>3</v>
      </c>
      <c r="L381">
        <v>2</v>
      </c>
      <c r="M381">
        <f>VLOOKUP(H381+2,HVW!U$174:V$342,2,FALSE)</f>
        <v>55</v>
      </c>
      <c r="N381" t="str" cm="1">
        <f t="array" ref="N381">INDEX(HVW!E$174:E$968,M381)</f>
        <v>TV Reichenbach</v>
      </c>
    </row>
    <row r="382" spans="2:14" x14ac:dyDescent="0.35">
      <c r="B382">
        <f t="shared" si="64"/>
        <v>39</v>
      </c>
      <c r="C382">
        <f t="shared" si="70"/>
        <v>37</v>
      </c>
      <c r="D382" t="str" cm="1">
        <f t="array" ref="D382">IF(C382=0,INDEX(D$312:D$400,B$339+1-B382),INDEX(I$344:I$1016,C382))</f>
        <v>LL Platz 3 Rang 1</v>
      </c>
      <c r="E382" t="str" cm="1">
        <f t="array" ref="E382">IF(C382=0,INDEX(E$312:E$416,B$339+1-B382),INDEX(N$344:N$1016,C382))</f>
        <v>SG Tübingen</v>
      </c>
      <c r="F382">
        <f t="shared" si="71"/>
        <v>41</v>
      </c>
      <c r="G382">
        <f t="shared" si="72"/>
        <v>-1</v>
      </c>
      <c r="H382">
        <f t="shared" si="65"/>
        <v>39</v>
      </c>
      <c r="I382" t="str">
        <f t="shared" si="67"/>
        <v>LL Platz 3 Rang 3</v>
      </c>
      <c r="J382" t="s">
        <v>3</v>
      </c>
      <c r="K382">
        <v>3</v>
      </c>
      <c r="L382">
        <v>3</v>
      </c>
      <c r="M382">
        <f>VLOOKUP(H382+2,HVW!U$174:V$342,2,FALSE)</f>
        <v>65</v>
      </c>
      <c r="N382" t="str" cm="1">
        <f t="array" ref="N382">INDEX(HVW!E$174:E$968,M382)</f>
        <v>HSG Langenau/Elchingen</v>
      </c>
    </row>
    <row r="383" spans="2:14" x14ac:dyDescent="0.35">
      <c r="B383">
        <f t="shared" si="64"/>
        <v>40</v>
      </c>
      <c r="C383">
        <f t="shared" si="70"/>
        <v>38</v>
      </c>
      <c r="D383" t="str" cm="1">
        <f t="array" ref="D383">IF(C383=0,INDEX(D$312:D$400,B$339+1-B383),INDEX(I$344:I$1016,C383))</f>
        <v>LL Platz 3 Rang 2</v>
      </c>
      <c r="E383" t="str" cm="1">
        <f t="array" ref="E383">IF(C383=0,INDEX(E$312:E$416,B$339+1-B383),INDEX(N$344:N$1016,C383))</f>
        <v>TV Reichenbach</v>
      </c>
      <c r="F383">
        <f t="shared" si="71"/>
        <v>42</v>
      </c>
      <c r="G383">
        <f t="shared" si="72"/>
        <v>-1</v>
      </c>
      <c r="H383">
        <f t="shared" si="65"/>
        <v>40</v>
      </c>
      <c r="I383" t="str">
        <f t="shared" si="67"/>
        <v>LL Platz 3 Rang 4</v>
      </c>
      <c r="J383" t="s">
        <v>3</v>
      </c>
      <c r="K383">
        <v>3</v>
      </c>
      <c r="L383">
        <v>4</v>
      </c>
      <c r="M383">
        <f>VLOOKUP(H383+2,HVW!U$174:V$342,2,FALSE)</f>
        <v>35</v>
      </c>
      <c r="N383" t="str" cm="1">
        <f t="array" ref="N383">INDEX(HVW!E$174:E$968,M383)</f>
        <v>HSG Strohgäu</v>
      </c>
    </row>
    <row r="384" spans="2:14" x14ac:dyDescent="0.35">
      <c r="B384">
        <f t="shared" si="64"/>
        <v>41</v>
      </c>
      <c r="C384">
        <f t="shared" si="70"/>
        <v>39</v>
      </c>
      <c r="D384" t="str" cm="1">
        <f t="array" ref="D384">IF(C384=0,INDEX(D$312:D$400,B$339+1-B384),INDEX(I$344:I$1016,C384))</f>
        <v>LL Platz 3 Rang 3</v>
      </c>
      <c r="E384" t="str" cm="1">
        <f t="array" ref="E384">IF(C384=0,INDEX(E$312:E$416,B$339+1-B384),INDEX(N$344:N$1016,C384))</f>
        <v>HSG Langenau/Elchingen</v>
      </c>
      <c r="F384">
        <f t="shared" si="71"/>
        <v>43</v>
      </c>
      <c r="G384">
        <f t="shared" si="72"/>
        <v>-1</v>
      </c>
      <c r="H384" s="2">
        <f t="shared" si="65"/>
        <v>41</v>
      </c>
      <c r="I384" t="str">
        <f t="shared" si="67"/>
        <v>LL Platz 4 Rang 1</v>
      </c>
      <c r="J384" t="s">
        <v>3</v>
      </c>
      <c r="K384">
        <v>4</v>
      </c>
      <c r="L384">
        <f t="shared" ref="L384:L411" si="74">L380</f>
        <v>1</v>
      </c>
      <c r="M384">
        <f>VLOOKUP(H384+2,HVW!U$174:V$342,2,FALSE)</f>
        <v>66</v>
      </c>
      <c r="N384" t="str" cm="1">
        <f t="array" ref="N384">INDEX(HVW!E$174:E$968,M384)</f>
        <v>TSG Schnaitheim</v>
      </c>
    </row>
    <row r="385" spans="2:14" x14ac:dyDescent="0.35">
      <c r="B385">
        <f t="shared" si="64"/>
        <v>42</v>
      </c>
      <c r="C385">
        <f t="shared" si="70"/>
        <v>40</v>
      </c>
      <c r="D385" t="str" cm="1">
        <f t="array" ref="D385">IF(C385=0,INDEX(D$312:D$400,B$339+1-B385),INDEX(I$344:I$1016,C385))</f>
        <v>LL Platz 3 Rang 4</v>
      </c>
      <c r="E385" t="str" cm="1">
        <f t="array" ref="E385">IF(C385=0,INDEX(E$312:E$416,B$339+1-B385),INDEX(N$344:N$1016,C385))</f>
        <v>HSG Strohgäu</v>
      </c>
      <c r="F385">
        <f t="shared" si="71"/>
        <v>44</v>
      </c>
      <c r="G385">
        <f t="shared" si="72"/>
        <v>-1</v>
      </c>
      <c r="H385" s="2">
        <f t="shared" si="65"/>
        <v>42</v>
      </c>
      <c r="I385" t="str">
        <f t="shared" si="67"/>
        <v>LL Platz 4 Rang 2</v>
      </c>
      <c r="J385" t="s">
        <v>3</v>
      </c>
      <c r="K385">
        <v>4</v>
      </c>
      <c r="L385">
        <f t="shared" si="74"/>
        <v>2</v>
      </c>
      <c r="M385">
        <f>VLOOKUP(H385+2,HVW!U$174:V$342,2,FALSE)</f>
        <v>56</v>
      </c>
      <c r="N385" t="str" cm="1">
        <f t="array" ref="N385">INDEX(HVW!E$174:E$968,M385)</f>
        <v>TB Neuffen</v>
      </c>
    </row>
    <row r="386" spans="2:14" x14ac:dyDescent="0.35">
      <c r="B386">
        <f t="shared" si="64"/>
        <v>43</v>
      </c>
      <c r="C386">
        <f t="shared" si="70"/>
        <v>41</v>
      </c>
      <c r="D386" t="str" cm="1">
        <f t="array" ref="D386">IF(C386=0,INDEX(D$312:D$400,B$339+1-B386),INDEX(I$344:I$1016,C386))</f>
        <v>LL Platz 4 Rang 1</v>
      </c>
      <c r="E386" t="str" cm="1">
        <f t="array" ref="E386">IF(C386=0,INDEX(E$312:E$416,B$339+1-B386),INDEX(N$344:N$1016,C386))</f>
        <v>TSG Schnaitheim</v>
      </c>
      <c r="F386">
        <f t="shared" si="71"/>
        <v>45</v>
      </c>
      <c r="G386">
        <f t="shared" si="72"/>
        <v>-1</v>
      </c>
      <c r="H386" s="2">
        <f t="shared" si="65"/>
        <v>43</v>
      </c>
      <c r="I386" t="str">
        <f t="shared" si="67"/>
        <v>LL Platz 4 Rang 3</v>
      </c>
      <c r="J386" t="s">
        <v>3</v>
      </c>
      <c r="K386">
        <v>4</v>
      </c>
      <c r="L386">
        <f t="shared" si="74"/>
        <v>3</v>
      </c>
      <c r="M386">
        <f>VLOOKUP(H386+2,HVW!U$174:V$342,2,FALSE)</f>
        <v>36</v>
      </c>
      <c r="N386" t="str" cm="1">
        <f t="array" ref="N386">INDEX(HVW!E$174:E$968,M386)</f>
        <v>HSG Hohenlohe</v>
      </c>
    </row>
    <row r="387" spans="2:14" x14ac:dyDescent="0.35">
      <c r="B387">
        <f t="shared" si="64"/>
        <v>44</v>
      </c>
      <c r="C387">
        <f t="shared" si="70"/>
        <v>42</v>
      </c>
      <c r="D387" t="str" cm="1">
        <f t="array" ref="D387">IF(C387=0,INDEX(D$312:D$400,B$339+1-B387),INDEX(I$344:I$1016,C387))</f>
        <v>LL Platz 4 Rang 2</v>
      </c>
      <c r="E387" t="str" cm="1">
        <f t="array" ref="E387">IF(C387=0,INDEX(E$312:E$416,B$339+1-B387),INDEX(N$344:N$1016,C387))</f>
        <v>TB Neuffen</v>
      </c>
      <c r="F387">
        <f t="shared" si="71"/>
        <v>46</v>
      </c>
      <c r="G387">
        <f t="shared" si="72"/>
        <v>-1</v>
      </c>
      <c r="H387" s="2">
        <f t="shared" si="65"/>
        <v>44</v>
      </c>
      <c r="I387" t="str">
        <f t="shared" si="67"/>
        <v>LL Platz 4 Rang 4</v>
      </c>
      <c r="J387" t="s">
        <v>3</v>
      </c>
      <c r="K387">
        <v>4</v>
      </c>
      <c r="L387">
        <f t="shared" si="74"/>
        <v>4</v>
      </c>
      <c r="M387">
        <f>VLOOKUP(H387+2,HVW!U$174:V$342,2,FALSE)</f>
        <v>46</v>
      </c>
      <c r="N387" t="str" cm="1">
        <f t="array" ref="N387">INDEX(HVW!E$174:E$968,M387)</f>
        <v>HSG Hossingen-Meßstetten</v>
      </c>
    </row>
    <row r="388" spans="2:14" x14ac:dyDescent="0.35">
      <c r="B388">
        <f t="shared" si="64"/>
        <v>45</v>
      </c>
      <c r="C388">
        <f t="shared" si="70"/>
        <v>43</v>
      </c>
      <c r="D388" t="str" cm="1">
        <f t="array" ref="D388">IF(C388=0,INDEX(D$312:D$400,B$339+1-B388),INDEX(I$344:I$1016,C388))</f>
        <v>LL Platz 4 Rang 3</v>
      </c>
      <c r="E388" t="str" cm="1">
        <f t="array" ref="E388">IF(C388=0,INDEX(E$312:E$416,B$339+1-B388),INDEX(N$344:N$1016,C388))</f>
        <v>HSG Hohenlohe</v>
      </c>
      <c r="F388">
        <f t="shared" si="71"/>
        <v>48</v>
      </c>
      <c r="G388">
        <f t="shared" si="72"/>
        <v>0</v>
      </c>
      <c r="H388">
        <f t="shared" si="65"/>
        <v>45</v>
      </c>
      <c r="I388" t="str">
        <f t="shared" si="67"/>
        <v>LL Platz 5 Rang 1</v>
      </c>
      <c r="J388" t="s">
        <v>3</v>
      </c>
      <c r="K388">
        <v>5</v>
      </c>
      <c r="L388">
        <f t="shared" si="74"/>
        <v>1</v>
      </c>
      <c r="M388">
        <f>VLOOKUP(H388+2,HVW!U$174:V$342,2,FALSE)</f>
        <v>47</v>
      </c>
      <c r="N388" t="str" cm="1">
        <f t="array" ref="N388">INDEX(HVW!E$174:E$968,M388)</f>
        <v>SG Hirsau/Calw/Bad Liebenzell</v>
      </c>
    </row>
    <row r="389" spans="2:14" x14ac:dyDescent="0.35">
      <c r="B389">
        <f t="shared" si="64"/>
        <v>46</v>
      </c>
      <c r="C389">
        <f t="shared" si="70"/>
        <v>44</v>
      </c>
      <c r="D389" t="str" cm="1">
        <f t="array" ref="D389">IF(C389=0,INDEX(D$312:D$400,B$339+1-B389),INDEX(I$344:I$1016,C389))</f>
        <v>LL Platz 4 Rang 4</v>
      </c>
      <c r="E389" t="str" cm="1">
        <f t="array" ref="E389">IF(C389=0,INDEX(E$312:E$416,B$339+1-B389),INDEX(N$344:N$1016,C389))</f>
        <v>HSG Hossingen-Meßstetten</v>
      </c>
      <c r="F389">
        <f t="shared" si="71"/>
        <v>49</v>
      </c>
      <c r="G389">
        <f t="shared" si="72"/>
        <v>0</v>
      </c>
      <c r="H389">
        <f t="shared" si="65"/>
        <v>46</v>
      </c>
      <c r="I389" t="str">
        <f t="shared" si="67"/>
        <v>LL Platz 5 Rang 2</v>
      </c>
      <c r="J389" t="s">
        <v>3</v>
      </c>
      <c r="K389">
        <v>5</v>
      </c>
      <c r="L389">
        <f t="shared" si="74"/>
        <v>2</v>
      </c>
      <c r="M389">
        <f>VLOOKUP(H389+2,HVW!U$174:V$342,2,FALSE)</f>
        <v>37</v>
      </c>
      <c r="N389" t="str" cm="1">
        <f t="array" ref="N389">INDEX(HVW!E$174:E$968,M389)</f>
        <v>SV Salamander Kornwestheim 1894 2</v>
      </c>
    </row>
    <row r="390" spans="2:14" x14ac:dyDescent="0.35">
      <c r="B390">
        <f t="shared" si="64"/>
        <v>47</v>
      </c>
      <c r="C390">
        <f t="shared" si="70"/>
        <v>28</v>
      </c>
      <c r="D390" t="str" cm="1">
        <f t="array" ref="D390">IF(C390=0,INDEX(D$312:D$400,B$339+1-B390),INDEX(I$344:I$1016,C390))</f>
        <v>VL Platz 10 Rang 1</v>
      </c>
      <c r="E390" t="str" cm="1">
        <f t="array" ref="E390">IF(C390=0,INDEX(E$312:E$416,B$339+1-B390),INDEX(N$344:N$1016,C390))</f>
        <v>HSG Winzingen-Wißgoldingen-Donzdorf</v>
      </c>
      <c r="F390">
        <f t="shared" si="71"/>
        <v>50</v>
      </c>
      <c r="G390">
        <f t="shared" si="72"/>
        <v>0</v>
      </c>
      <c r="H390">
        <f t="shared" si="65"/>
        <v>47</v>
      </c>
      <c r="I390" t="str">
        <f t="shared" si="67"/>
        <v>LL Platz 5 Rang 3</v>
      </c>
      <c r="J390" t="s">
        <v>3</v>
      </c>
      <c r="K390">
        <v>5</v>
      </c>
      <c r="L390">
        <f t="shared" si="74"/>
        <v>3</v>
      </c>
      <c r="M390">
        <f>VLOOKUP(H390+2,HVW!U$174:V$342,2,FALSE)</f>
        <v>67</v>
      </c>
      <c r="N390" t="str" cm="1">
        <f t="array" ref="N390">INDEX(HVW!E$174:E$968,M390)</f>
        <v>FSG Giengen-Brenz</v>
      </c>
    </row>
    <row r="391" spans="2:14" x14ac:dyDescent="0.35">
      <c r="B391">
        <f t="shared" si="64"/>
        <v>48</v>
      </c>
      <c r="C391">
        <f t="shared" si="70"/>
        <v>45</v>
      </c>
      <c r="D391" t="str" cm="1">
        <f t="array" ref="D391">IF(C391=0,INDEX(D$312:D$400,B$339+1-B391),INDEX(I$344:I$1016,C391))</f>
        <v>LL Platz 5 Rang 1</v>
      </c>
      <c r="E391" t="str" cm="1">
        <f t="array" ref="E391">IF(C391=0,INDEX(E$312:E$416,B$339+1-B391),INDEX(N$344:N$1016,C391))</f>
        <v>SG Hirsau/Calw/Bad Liebenzell</v>
      </c>
      <c r="F391">
        <f t="shared" si="71"/>
        <v>51</v>
      </c>
      <c r="G391">
        <f t="shared" si="72"/>
        <v>0</v>
      </c>
      <c r="H391">
        <f t="shared" si="65"/>
        <v>48</v>
      </c>
      <c r="I391" t="str">
        <f t="shared" si="67"/>
        <v>LL Platz 5 Rang 4</v>
      </c>
      <c r="J391" t="s">
        <v>3</v>
      </c>
      <c r="K391">
        <v>5</v>
      </c>
      <c r="L391">
        <f t="shared" si="74"/>
        <v>4</v>
      </c>
      <c r="M391">
        <f>VLOOKUP(H391+2,HVW!U$174:V$342,2,FALSE)</f>
        <v>57</v>
      </c>
      <c r="N391" t="str" cm="1">
        <f t="array" ref="N391">INDEX(HVW!E$174:E$968,M391)</f>
        <v>SF Schwaikheim 2</v>
      </c>
    </row>
    <row r="392" spans="2:14" x14ac:dyDescent="0.35">
      <c r="B392">
        <f t="shared" si="64"/>
        <v>49</v>
      </c>
      <c r="C392">
        <f t="shared" si="70"/>
        <v>46</v>
      </c>
      <c r="D392" t="str" cm="1">
        <f t="array" ref="D392">IF(C392=0,INDEX(D$312:D$400,B$339+1-B392),INDEX(I$344:I$1016,C392))</f>
        <v>LL Platz 5 Rang 2</v>
      </c>
      <c r="E392" t="str" cm="1">
        <f t="array" ref="E392">IF(C392=0,INDEX(E$312:E$416,B$339+1-B392),INDEX(N$344:N$1016,C392))</f>
        <v>SV Salamander Kornwestheim 1894 2</v>
      </c>
      <c r="F392">
        <f t="shared" si="71"/>
        <v>52</v>
      </c>
      <c r="G392">
        <f t="shared" si="72"/>
        <v>0</v>
      </c>
      <c r="H392">
        <f t="shared" si="65"/>
        <v>49</v>
      </c>
      <c r="I392" t="str">
        <f t="shared" si="67"/>
        <v>LL Platz 6 Rang 1</v>
      </c>
      <c r="J392" t="s">
        <v>3</v>
      </c>
      <c r="K392">
        <v>6</v>
      </c>
      <c r="L392">
        <f t="shared" si="74"/>
        <v>1</v>
      </c>
      <c r="M392">
        <f>VLOOKUP(H392+2,HVW!U$174:V$342,2,FALSE)</f>
        <v>48</v>
      </c>
      <c r="N392" t="str" cm="1">
        <f t="array" ref="N392">INDEX(HVW!E$174:E$968,M392)</f>
        <v>HSG Albstadt</v>
      </c>
    </row>
    <row r="393" spans="2:14" x14ac:dyDescent="0.35">
      <c r="B393">
        <f t="shared" si="64"/>
        <v>50</v>
      </c>
      <c r="C393">
        <f t="shared" si="70"/>
        <v>47</v>
      </c>
      <c r="D393" t="str" cm="1">
        <f t="array" ref="D393">IF(C393=0,INDEX(D$312:D$400,B$339+1-B393),INDEX(I$344:I$1016,C393))</f>
        <v>LL Platz 5 Rang 3</v>
      </c>
      <c r="E393" t="str" cm="1">
        <f t="array" ref="E393">IF(C393=0,INDEX(E$312:E$416,B$339+1-B393),INDEX(N$344:N$1016,C393))</f>
        <v>FSG Giengen-Brenz</v>
      </c>
      <c r="F393">
        <f t="shared" si="71"/>
        <v>53</v>
      </c>
      <c r="G393">
        <f t="shared" si="72"/>
        <v>0</v>
      </c>
      <c r="H393">
        <f t="shared" si="65"/>
        <v>50</v>
      </c>
      <c r="I393" t="str">
        <f t="shared" si="67"/>
        <v>LL Platz 6 Rang 2</v>
      </c>
      <c r="J393" t="s">
        <v>3</v>
      </c>
      <c r="K393">
        <v>6</v>
      </c>
      <c r="L393">
        <f t="shared" si="74"/>
        <v>2</v>
      </c>
      <c r="M393">
        <f>VLOOKUP(H393+2,HVW!U$174:V$342,2,FALSE)</f>
        <v>68</v>
      </c>
      <c r="N393" t="str" cm="1">
        <f t="array" ref="N393">INDEX(HVW!E$174:E$968,M393)</f>
        <v>SG Lauterstein/Treffelhausen/Böhmenkirch</v>
      </c>
    </row>
    <row r="394" spans="2:14" x14ac:dyDescent="0.35">
      <c r="B394">
        <f t="shared" si="64"/>
        <v>51</v>
      </c>
      <c r="C394">
        <f t="shared" si="70"/>
        <v>48</v>
      </c>
      <c r="D394" t="str" cm="1">
        <f t="array" ref="D394">IF(C394=0,INDEX(D$312:D$400,B$339+1-B394),INDEX(I$344:I$1016,C394))</f>
        <v>LL Platz 5 Rang 4</v>
      </c>
      <c r="E394" t="str" cm="1">
        <f t="array" ref="E394">IF(C394=0,INDEX(E$312:E$416,B$339+1-B394),INDEX(N$344:N$1016,C394))</f>
        <v>SF Schwaikheim 2</v>
      </c>
      <c r="F394">
        <f t="shared" si="71"/>
        <v>54</v>
      </c>
      <c r="G394">
        <f t="shared" si="72"/>
        <v>0</v>
      </c>
      <c r="H394">
        <f t="shared" si="65"/>
        <v>51</v>
      </c>
      <c r="I394" t="str">
        <f t="shared" si="67"/>
        <v>LL Platz 6 Rang 3</v>
      </c>
      <c r="J394" t="s">
        <v>3</v>
      </c>
      <c r="K394">
        <f t="shared" ref="K394:K411" si="75">K390+1</f>
        <v>6</v>
      </c>
      <c r="L394">
        <f t="shared" si="74"/>
        <v>3</v>
      </c>
      <c r="M394">
        <f>VLOOKUP(H394+2,HVW!U$174:V$342,2,FALSE)</f>
        <v>58</v>
      </c>
      <c r="N394" t="str" cm="1">
        <f t="array" ref="N394">INDEX(HVW!E$174:E$968,M394)</f>
        <v>TSV Zizishausen</v>
      </c>
    </row>
    <row r="395" spans="2:14" x14ac:dyDescent="0.35">
      <c r="B395">
        <f t="shared" si="64"/>
        <v>52</v>
      </c>
      <c r="C395">
        <f t="shared" si="70"/>
        <v>49</v>
      </c>
      <c r="D395" t="str" cm="1">
        <f t="array" ref="D395">IF(C395=0,INDEX(D$312:D$400,B$339+1-B395),INDEX(I$344:I$1016,C395))</f>
        <v>LL Platz 6 Rang 1</v>
      </c>
      <c r="E395" t="str" cm="1">
        <f t="array" ref="E395">IF(C395=0,INDEX(E$312:E$416,B$339+1-B395),INDEX(N$344:N$1016,C395))</f>
        <v>HSG Albstadt</v>
      </c>
      <c r="F395">
        <f t="shared" si="71"/>
        <v>55</v>
      </c>
      <c r="G395">
        <f t="shared" si="72"/>
        <v>0</v>
      </c>
      <c r="H395">
        <f t="shared" si="65"/>
        <v>52</v>
      </c>
      <c r="I395" t="str">
        <f t="shared" si="67"/>
        <v>LL Platz 6 Rang 4</v>
      </c>
      <c r="J395" t="s">
        <v>3</v>
      </c>
      <c r="K395">
        <f t="shared" si="75"/>
        <v>6</v>
      </c>
      <c r="L395">
        <f t="shared" si="74"/>
        <v>4</v>
      </c>
      <c r="M395">
        <f>VLOOKUP(H395+2,HVW!U$174:V$342,2,FALSE)</f>
        <v>38</v>
      </c>
      <c r="N395" t="str" cm="1">
        <f t="array" ref="N395">INDEX(HVW!E$174:E$968,M395)</f>
        <v>TSV Bönnigheim 2</v>
      </c>
    </row>
    <row r="396" spans="2:14" x14ac:dyDescent="0.35">
      <c r="B396">
        <f t="shared" si="64"/>
        <v>53</v>
      </c>
      <c r="C396">
        <f t="shared" si="70"/>
        <v>50</v>
      </c>
      <c r="D396" t="str" cm="1">
        <f t="array" ref="D396">IF(C396=0,INDEX(D$312:D$400,B$339+1-B396),INDEX(I$344:I$1016,C396))</f>
        <v>LL Platz 6 Rang 2</v>
      </c>
      <c r="E396" t="str" cm="1">
        <f t="array" ref="E396">IF(C396=0,INDEX(E$312:E$416,B$339+1-B396),INDEX(N$344:N$1016,C396))</f>
        <v>SG Lauterstein/Treffelhausen/Böhmenkirch</v>
      </c>
      <c r="F396">
        <f t="shared" si="71"/>
        <v>56</v>
      </c>
      <c r="G396">
        <f t="shared" si="72"/>
        <v>0</v>
      </c>
      <c r="H396">
        <f t="shared" si="65"/>
        <v>53</v>
      </c>
      <c r="I396" t="str">
        <f t="shared" si="67"/>
        <v>LL Platz 7 Rang 1</v>
      </c>
      <c r="J396" t="s">
        <v>3</v>
      </c>
      <c r="K396">
        <f t="shared" si="75"/>
        <v>7</v>
      </c>
      <c r="L396">
        <f t="shared" si="74"/>
        <v>1</v>
      </c>
      <c r="M396">
        <f>VLOOKUP(H396+2,HVW!U$174:V$342,2,FALSE)</f>
        <v>49</v>
      </c>
      <c r="N396" t="str" cm="1">
        <f t="array" ref="N396">INDEX(HVW!E$174:E$968,M396)</f>
        <v>HSG Rottweil</v>
      </c>
    </row>
    <row r="397" spans="2:14" x14ac:dyDescent="0.35">
      <c r="B397">
        <f t="shared" si="64"/>
        <v>54</v>
      </c>
      <c r="C397">
        <f t="shared" si="70"/>
        <v>51</v>
      </c>
      <c r="D397" t="str" cm="1">
        <f t="array" ref="D397">IF(C397=0,INDEX(D$312:D$400,B$339+1-B397),INDEX(I$344:I$1016,C397))</f>
        <v>LL Platz 6 Rang 3</v>
      </c>
      <c r="E397" t="str" cm="1">
        <f t="array" ref="E397">IF(C397=0,INDEX(E$312:E$416,B$339+1-B397),INDEX(N$344:N$1016,C397))</f>
        <v>TSV Zizishausen</v>
      </c>
      <c r="F397">
        <f t="shared" si="71"/>
        <v>57</v>
      </c>
      <c r="G397">
        <f t="shared" si="72"/>
        <v>0</v>
      </c>
      <c r="H397">
        <f t="shared" si="65"/>
        <v>54</v>
      </c>
      <c r="I397" t="str">
        <f t="shared" si="67"/>
        <v>LL Platz 7 Rang 2</v>
      </c>
      <c r="J397" t="s">
        <v>3</v>
      </c>
      <c r="K397">
        <f t="shared" si="75"/>
        <v>7</v>
      </c>
      <c r="L397">
        <f t="shared" si="74"/>
        <v>2</v>
      </c>
      <c r="M397">
        <f>VLOOKUP(H397+2,HVW!U$174:V$342,2,FALSE)</f>
        <v>69</v>
      </c>
      <c r="N397" t="str" cm="1">
        <f t="array" ref="N397">INDEX(HVW!E$174:E$968,M397)</f>
        <v>SG Burlafingen/PSV Ulm</v>
      </c>
    </row>
    <row r="398" spans="2:14" x14ac:dyDescent="0.35">
      <c r="B398">
        <f t="shared" si="64"/>
        <v>55</v>
      </c>
      <c r="C398">
        <f t="shared" si="70"/>
        <v>52</v>
      </c>
      <c r="D398" t="str" cm="1">
        <f t="array" ref="D398">IF(C398=0,INDEX(D$312:D$400,B$339+1-B398),INDEX(I$344:I$1016,C398))</f>
        <v>LL Platz 6 Rang 4</v>
      </c>
      <c r="E398" t="str" cm="1">
        <f t="array" ref="E398">IF(C398=0,INDEX(E$312:E$416,B$339+1-B398),INDEX(N$344:N$1016,C398))</f>
        <v>TSV Bönnigheim 2</v>
      </c>
      <c r="F398">
        <f t="shared" si="71"/>
        <v>58</v>
      </c>
      <c r="G398">
        <f t="shared" si="72"/>
        <v>0</v>
      </c>
      <c r="H398">
        <f t="shared" si="65"/>
        <v>55</v>
      </c>
      <c r="I398" t="str">
        <f t="shared" si="67"/>
        <v>LL Platz 7 Rang 3</v>
      </c>
      <c r="J398" t="s">
        <v>3</v>
      </c>
      <c r="K398">
        <f t="shared" si="75"/>
        <v>7</v>
      </c>
      <c r="L398">
        <f t="shared" si="74"/>
        <v>3</v>
      </c>
      <c r="M398">
        <f>VLOOKUP(H398+2,HVW!U$174:V$342,2,FALSE)</f>
        <v>59</v>
      </c>
      <c r="N398" t="str" cm="1">
        <f t="array" ref="N398">INDEX(HVW!E$174:E$968,M398)</f>
        <v>HSG Cannstatt/Münster/Max-Eyth-See</v>
      </c>
    </row>
    <row r="399" spans="2:14" x14ac:dyDescent="0.35">
      <c r="B399">
        <f t="shared" si="64"/>
        <v>56</v>
      </c>
      <c r="C399">
        <f t="shared" si="70"/>
        <v>53</v>
      </c>
      <c r="D399" t="str" cm="1">
        <f t="array" ref="D399">IF(C399=0,INDEX(D$312:D$400,B$339+1-B399),INDEX(I$344:I$1016,C399))</f>
        <v>LL Platz 7 Rang 1</v>
      </c>
      <c r="E399" t="str" cm="1">
        <f t="array" ref="E399">IF(C399=0,INDEX(E$312:E$416,B$339+1-B399),INDEX(N$344:N$1016,C399))</f>
        <v>HSG Rottweil</v>
      </c>
      <c r="F399">
        <f t="shared" si="71"/>
        <v>59</v>
      </c>
      <c r="G399">
        <f t="shared" si="72"/>
        <v>0</v>
      </c>
      <c r="H399">
        <f t="shared" si="65"/>
        <v>56</v>
      </c>
      <c r="I399" t="str">
        <f t="shared" si="67"/>
        <v>LL Platz 7 Rang 4</v>
      </c>
      <c r="J399" t="s">
        <v>3</v>
      </c>
      <c r="K399">
        <f t="shared" si="75"/>
        <v>7</v>
      </c>
      <c r="L399">
        <f t="shared" si="74"/>
        <v>4</v>
      </c>
      <c r="M399">
        <f>VLOOKUP(H399+2,HVW!U$174:V$342,2,FALSE)</f>
        <v>39</v>
      </c>
      <c r="N399" t="str" cm="1">
        <f t="array" ref="N399">INDEX(HVW!E$174:E$968,M399)</f>
        <v>SG Heuchelberg</v>
      </c>
    </row>
    <row r="400" spans="2:14" x14ac:dyDescent="0.35">
      <c r="B400">
        <f t="shared" si="64"/>
        <v>57</v>
      </c>
      <c r="C400">
        <f t="shared" si="70"/>
        <v>54</v>
      </c>
      <c r="D400" t="str" cm="1">
        <f t="array" ref="D400">IF(C400=0,INDEX(D$312:D$400,B$339+1-B400),INDEX(I$344:I$1016,C400))</f>
        <v>LL Platz 7 Rang 2</v>
      </c>
      <c r="E400" t="str" cm="1">
        <f t="array" ref="E400">IF(C400=0,INDEX(E$312:E$416,B$339+1-B400),INDEX(N$344:N$1016,C400))</f>
        <v>SG Burlafingen/PSV Ulm</v>
      </c>
      <c r="F400">
        <f t="shared" si="71"/>
        <v>60</v>
      </c>
      <c r="G400">
        <f t="shared" si="72"/>
        <v>0</v>
      </c>
      <c r="H400">
        <f t="shared" si="65"/>
        <v>57</v>
      </c>
      <c r="I400" t="str">
        <f t="shared" si="67"/>
        <v>LL Platz 8 Rang 1</v>
      </c>
      <c r="J400" t="s">
        <v>3</v>
      </c>
      <c r="K400">
        <f t="shared" si="75"/>
        <v>8</v>
      </c>
      <c r="L400">
        <f t="shared" si="74"/>
        <v>1</v>
      </c>
      <c r="M400">
        <f>VLOOKUP(H400+2,HVW!U$174:V$342,2,FALSE)</f>
        <v>50</v>
      </c>
      <c r="N400" t="str" cm="1">
        <f t="array" ref="N400">INDEX(HVW!E$174:E$968,M400)</f>
        <v>HC Schmiden/Oeffingen 2</v>
      </c>
    </row>
    <row r="401" spans="2:14" x14ac:dyDescent="0.35">
      <c r="B401">
        <f t="shared" si="64"/>
        <v>58</v>
      </c>
      <c r="C401">
        <f t="shared" si="70"/>
        <v>55</v>
      </c>
      <c r="D401" t="str" cm="1">
        <f t="array" ref="D401">IF(C401=0,INDEX(D$312:D$400,B$339+1-B401),INDEX(I$344:I$1016,C401))</f>
        <v>LL Platz 7 Rang 3</v>
      </c>
      <c r="E401" t="str" cm="1">
        <f t="array" ref="E401">IF(C401=0,INDEX(E$312:E$416,B$339+1-B401),INDEX(N$344:N$1016,C401))</f>
        <v>HSG Cannstatt/Münster/Max-Eyth-See</v>
      </c>
      <c r="F401">
        <f t="shared" si="71"/>
        <v>61</v>
      </c>
      <c r="G401">
        <f t="shared" si="72"/>
        <v>0</v>
      </c>
      <c r="H401">
        <f t="shared" si="65"/>
        <v>58</v>
      </c>
      <c r="I401" t="str">
        <f t="shared" si="67"/>
        <v>LL Platz 8 Rang 2</v>
      </c>
      <c r="J401" t="s">
        <v>3</v>
      </c>
      <c r="K401">
        <f t="shared" si="75"/>
        <v>8</v>
      </c>
      <c r="L401">
        <f t="shared" si="74"/>
        <v>2</v>
      </c>
      <c r="M401">
        <f>VLOOKUP(H401+2,HVW!U$174:V$342,2,FALSE)</f>
        <v>60</v>
      </c>
      <c r="N401" t="str" cm="1">
        <f t="array" ref="N401">INDEX(HVW!E$174:E$968,M401)</f>
        <v>HT Uhingen-Holzhausen</v>
      </c>
    </row>
    <row r="402" spans="2:14" x14ac:dyDescent="0.35">
      <c r="B402">
        <f t="shared" si="64"/>
        <v>59</v>
      </c>
      <c r="C402">
        <f t="shared" si="70"/>
        <v>56</v>
      </c>
      <c r="D402" t="str" cm="1">
        <f t="array" ref="D402">IF(C402=0,INDEX(D$312:D$400,B$339+1-B402),INDEX(I$344:I$1016,C402))</f>
        <v>LL Platz 7 Rang 4</v>
      </c>
      <c r="E402" t="str" cm="1">
        <f t="array" ref="E402">IF(C402=0,INDEX(E$312:E$416,B$339+1-B402),INDEX(N$344:N$1016,C402))</f>
        <v>SG Heuchelberg</v>
      </c>
      <c r="F402">
        <f t="shared" si="71"/>
        <v>62</v>
      </c>
      <c r="G402">
        <f t="shared" si="72"/>
        <v>0</v>
      </c>
      <c r="H402">
        <f t="shared" si="65"/>
        <v>59</v>
      </c>
      <c r="I402" t="str">
        <f t="shared" si="67"/>
        <v>LL Platz 8 Rang 3</v>
      </c>
      <c r="J402" t="s">
        <v>3</v>
      </c>
      <c r="K402">
        <f t="shared" si="75"/>
        <v>8</v>
      </c>
      <c r="L402">
        <f t="shared" si="74"/>
        <v>3</v>
      </c>
      <c r="M402">
        <f>VLOOKUP(H402+2,HVW!U$174:V$342,2,FALSE)</f>
        <v>70</v>
      </c>
      <c r="N402" t="str" cm="1">
        <f t="array" ref="N402">INDEX(HVW!E$174:E$968,M402)</f>
        <v>SC Vöhringen</v>
      </c>
    </row>
    <row r="403" spans="2:14" x14ac:dyDescent="0.35">
      <c r="B403">
        <f t="shared" si="64"/>
        <v>60</v>
      </c>
      <c r="C403">
        <f t="shared" si="70"/>
        <v>57</v>
      </c>
      <c r="D403" t="str" cm="1">
        <f t="array" ref="D403">IF(C403=0,INDEX(D$312:D$400,B$339+1-B403),INDEX(I$344:I$1016,C403))</f>
        <v>LL Platz 8 Rang 1</v>
      </c>
      <c r="E403" t="str" cm="1">
        <f t="array" ref="E403">IF(C403=0,INDEX(E$312:E$416,B$339+1-B403),INDEX(N$344:N$1016,C403))</f>
        <v>HC Schmiden/Oeffingen 2</v>
      </c>
      <c r="F403">
        <f t="shared" si="71"/>
        <v>63</v>
      </c>
      <c r="G403">
        <f t="shared" si="72"/>
        <v>0</v>
      </c>
      <c r="H403">
        <f t="shared" si="65"/>
        <v>60</v>
      </c>
      <c r="I403" t="str">
        <f t="shared" si="67"/>
        <v>LL Platz 8 Rang 4</v>
      </c>
      <c r="J403" t="s">
        <v>3</v>
      </c>
      <c r="K403">
        <f t="shared" si="75"/>
        <v>8</v>
      </c>
      <c r="L403">
        <f t="shared" si="74"/>
        <v>4</v>
      </c>
      <c r="M403">
        <f>VLOOKUP(H403+2,HVW!U$174:V$342,2,FALSE)</f>
        <v>40</v>
      </c>
      <c r="N403" t="str" cm="1">
        <f t="array" ref="N403">INDEX(HVW!E$174:E$968,M403)</f>
        <v>HC Oppenweiler/Backnang 2</v>
      </c>
    </row>
    <row r="404" spans="2:14" x14ac:dyDescent="0.35">
      <c r="B404">
        <f t="shared" si="64"/>
        <v>61</v>
      </c>
      <c r="C404">
        <f t="shared" si="70"/>
        <v>58</v>
      </c>
      <c r="D404" t="str" cm="1">
        <f t="array" ref="D404">IF(C404=0,INDEX(D$312:D$400,B$339+1-B404),INDEX(I$344:I$1016,C404))</f>
        <v>LL Platz 8 Rang 2</v>
      </c>
      <c r="E404" t="str" cm="1">
        <f t="array" ref="E404">IF(C404=0,INDEX(E$312:E$416,B$339+1-B404),INDEX(N$344:N$1016,C404))</f>
        <v>HT Uhingen-Holzhausen</v>
      </c>
      <c r="F404">
        <f t="shared" si="71"/>
        <v>163</v>
      </c>
      <c r="G404">
        <f t="shared" si="72"/>
        <v>99</v>
      </c>
      <c r="H404">
        <f t="shared" si="65"/>
        <v>61</v>
      </c>
      <c r="I404" t="str">
        <f t="shared" si="67"/>
        <v>LL Platz 9 Rang 1</v>
      </c>
      <c r="J404" t="s">
        <v>3</v>
      </c>
      <c r="K404">
        <f t="shared" si="75"/>
        <v>9</v>
      </c>
      <c r="L404">
        <f t="shared" si="74"/>
        <v>1</v>
      </c>
      <c r="M404">
        <f>VLOOKUP(H404+2,HVW!U$174:V$342,2,FALSE)</f>
        <v>41</v>
      </c>
      <c r="N404" t="str" cm="1">
        <f t="array" ref="N404">INDEX(HVW!E$174:E$968,M404)</f>
        <v>HSG Kochertürn/Stein</v>
      </c>
    </row>
    <row r="405" spans="2:14" x14ac:dyDescent="0.35">
      <c r="B405">
        <f t="shared" si="64"/>
        <v>62</v>
      </c>
      <c r="C405">
        <f t="shared" si="70"/>
        <v>59</v>
      </c>
      <c r="D405" t="str" cm="1">
        <f t="array" ref="D405">IF(C405=0,INDEX(D$312:D$400,B$339+1-B405),INDEX(I$344:I$1016,C405))</f>
        <v>LL Platz 8 Rang 3</v>
      </c>
      <c r="E405" t="str" cm="1">
        <f t="array" ref="E405">IF(C405=0,INDEX(E$312:E$416,B$339+1-B405),INDEX(N$344:N$1016,C405))</f>
        <v>SC Vöhringen</v>
      </c>
      <c r="F405">
        <f t="shared" si="71"/>
        <v>164</v>
      </c>
      <c r="G405">
        <f t="shared" si="72"/>
        <v>99</v>
      </c>
      <c r="H405">
        <f t="shared" si="65"/>
        <v>62</v>
      </c>
      <c r="I405" t="str">
        <f t="shared" si="67"/>
        <v>LL Platz 9 Rang 2</v>
      </c>
      <c r="J405" t="s">
        <v>3</v>
      </c>
      <c r="K405">
        <f t="shared" si="75"/>
        <v>9</v>
      </c>
      <c r="L405">
        <f t="shared" si="74"/>
        <v>2</v>
      </c>
      <c r="M405">
        <f>VLOOKUP(H405+2,HVW!U$174:V$342,2,FALSE)</f>
        <v>61</v>
      </c>
      <c r="N405" t="str" cm="1">
        <f t="array" ref="N405">INDEX(HVW!E$174:E$968,M405)</f>
        <v>HSG Ermstal</v>
      </c>
    </row>
    <row r="406" spans="2:14" x14ac:dyDescent="0.35">
      <c r="B406">
        <f t="shared" si="64"/>
        <v>63</v>
      </c>
      <c r="C406">
        <f t="shared" si="70"/>
        <v>60</v>
      </c>
      <c r="D406" t="str" cm="1">
        <f t="array" ref="D406">IF(C406=0,INDEX(D$312:D$400,B$339+1-B406),INDEX(I$344:I$1016,C406))</f>
        <v>LL Platz 8 Rang 4</v>
      </c>
      <c r="E406" t="str" cm="1">
        <f t="array" ref="E406">IF(C406=0,INDEX(E$312:E$416,B$339+1-B406),INDEX(N$344:N$1016,C406))</f>
        <v>HC Oppenweiler/Backnang 2</v>
      </c>
      <c r="F406">
        <f t="shared" si="71"/>
        <v>165</v>
      </c>
      <c r="G406">
        <f t="shared" si="72"/>
        <v>99</v>
      </c>
      <c r="H406">
        <f t="shared" si="65"/>
        <v>63</v>
      </c>
      <c r="I406" t="str">
        <f t="shared" si="67"/>
        <v>LL Platz 9 Rang 3</v>
      </c>
      <c r="J406" t="s">
        <v>3</v>
      </c>
      <c r="K406">
        <f t="shared" si="75"/>
        <v>9</v>
      </c>
      <c r="L406">
        <f t="shared" si="74"/>
        <v>3</v>
      </c>
      <c r="M406">
        <f>VLOOKUP(H406+2,HVW!U$174:V$342,2,FALSE)</f>
        <v>71</v>
      </c>
      <c r="N406" t="str" cm="1">
        <f t="array" ref="N406">INDEX(HVW!E$174:E$968,M406)</f>
        <v>TSG Söflingen &amp; Ehingen</v>
      </c>
    </row>
    <row r="407" spans="2:14" x14ac:dyDescent="0.35">
      <c r="B407">
        <f t="shared" si="64"/>
        <v>64</v>
      </c>
      <c r="C407">
        <f t="shared" si="70"/>
        <v>69</v>
      </c>
      <c r="D407" t="str" cm="1">
        <f t="array" ref="D407">IF(C407=0,INDEX(D$312:D$400,B$339+1-B407),INDEX(I$344:I$1016,C407))</f>
        <v>BOL Platz 1 Rang 1</v>
      </c>
      <c r="E407" t="str" cm="1">
        <f t="array" ref="E407">IF(C407=0,INDEX(E$312:E$416,B$339+1-B407),INDEX(N$344:N$1016,C407))</f>
        <v>FSG Altenstadt/Geislingen</v>
      </c>
      <c r="F407">
        <f t="shared" si="71"/>
        <v>166</v>
      </c>
      <c r="G407">
        <f t="shared" si="72"/>
        <v>99</v>
      </c>
      <c r="H407">
        <f t="shared" si="65"/>
        <v>64</v>
      </c>
      <c r="I407" t="str">
        <f t="shared" si="67"/>
        <v>LL Platz 9 Rang 4</v>
      </c>
      <c r="J407" t="s">
        <v>3</v>
      </c>
      <c r="K407">
        <f t="shared" si="75"/>
        <v>9</v>
      </c>
      <c r="L407">
        <f t="shared" si="74"/>
        <v>4</v>
      </c>
      <c r="M407">
        <f>VLOOKUP(H407+2,HVW!U$174:V$342,2,FALSE)</f>
        <v>51</v>
      </c>
      <c r="N407" t="str" cm="1">
        <f t="array" ref="N407">INDEX(HVW!E$174:E$968,M407)</f>
        <v>HWB Handball Winterlingen-Bitz</v>
      </c>
    </row>
    <row r="408" spans="2:14" x14ac:dyDescent="0.35">
      <c r="B408">
        <f t="shared" si="64"/>
        <v>65</v>
      </c>
      <c r="C408">
        <f t="shared" ref="C408:C439" si="76">IF(B408&lt;=B$339,0,VLOOKUP(B408,$F$344:$H$471,3,FALSE))</f>
        <v>70</v>
      </c>
      <c r="D408" t="str" cm="1">
        <f t="array" ref="D408">IF(C408=0,INDEX(D$312:D$400,B$339+1-B408),INDEX(I$344:I$1016,C408))</f>
        <v>BOL Platz 1 Rang 2</v>
      </c>
      <c r="E408" t="str" cm="1">
        <f t="array" ref="E408">IF(C408=0,INDEX(E$312:E$416,B$339+1-B408),INDEX(N$344:N$1016,C408))</f>
        <v>TV Spaichingen</v>
      </c>
      <c r="F408">
        <f t="shared" ref="F408:F439" si="77">H408+G408+B$339</f>
        <v>167</v>
      </c>
      <c r="G408">
        <f t="shared" ref="G408:G439" si="78">VLOOKUP(H408,I$331:J$339,2,TRUE)</f>
        <v>99</v>
      </c>
      <c r="H408">
        <f t="shared" si="65"/>
        <v>65</v>
      </c>
      <c r="I408" t="str">
        <f t="shared" si="67"/>
        <v>LL Platz 10 Rang 1</v>
      </c>
      <c r="J408" t="s">
        <v>3</v>
      </c>
      <c r="K408">
        <f t="shared" si="75"/>
        <v>10</v>
      </c>
      <c r="L408">
        <f t="shared" si="74"/>
        <v>1</v>
      </c>
      <c r="M408">
        <f>VLOOKUP(H408+2,HVW!U$174:V$342,2,FALSE)</f>
        <v>42</v>
      </c>
      <c r="N408" t="str" cm="1">
        <f t="array" ref="N408">INDEX(HVW!E$174:E$968,M408)</f>
        <v>TSV Hardthausen</v>
      </c>
    </row>
    <row r="409" spans="2:14" x14ac:dyDescent="0.35">
      <c r="B409">
        <f t="shared" ref="B409:B467" si="79">1+B408</f>
        <v>66</v>
      </c>
      <c r="C409">
        <f t="shared" si="76"/>
        <v>71</v>
      </c>
      <c r="D409" t="str" cm="1">
        <f t="array" ref="D409">IF(C409=0,INDEX(D$312:D$400,B$339+1-B409),INDEX(I$344:I$1016,C409))</f>
        <v>BOL Platz 1 Rang 3</v>
      </c>
      <c r="E409" t="str" cm="1">
        <f t="array" ref="E409">IF(C409=0,INDEX(E$312:E$416,B$339+1-B409),INDEX(N$344:N$1016,C409))</f>
        <v>TV 1861 Rottenburg</v>
      </c>
      <c r="F409">
        <f t="shared" si="77"/>
        <v>168</v>
      </c>
      <c r="G409">
        <f t="shared" si="78"/>
        <v>99</v>
      </c>
      <c r="H409">
        <f t="shared" ref="H409:H467" si="80">1+H408</f>
        <v>66</v>
      </c>
      <c r="I409" t="str">
        <f t="shared" si="67"/>
        <v>LL Platz 10 Rang 2</v>
      </c>
      <c r="J409" t="s">
        <v>3</v>
      </c>
      <c r="K409">
        <f t="shared" si="75"/>
        <v>10</v>
      </c>
      <c r="L409">
        <f t="shared" si="74"/>
        <v>2</v>
      </c>
      <c r="M409">
        <f>VLOOKUP(H409+2,HVW!U$174:V$342,2,FALSE)</f>
        <v>62</v>
      </c>
      <c r="N409" t="str" cm="1">
        <f t="array" ref="N409">INDEX(HVW!E$174:E$968,M409)</f>
        <v>TEAM Esslingen</v>
      </c>
    </row>
    <row r="410" spans="2:14" x14ac:dyDescent="0.35">
      <c r="B410">
        <f t="shared" si="79"/>
        <v>67</v>
      </c>
      <c r="C410">
        <f t="shared" si="76"/>
        <v>72</v>
      </c>
      <c r="D410" t="str" cm="1">
        <f t="array" ref="D410">IF(C410=0,INDEX(D$312:D$400,B$339+1-B410),INDEX(I$344:I$1016,C410))</f>
        <v>BOL Platz 1 Rang 4</v>
      </c>
      <c r="E410" t="str" cm="1">
        <f t="array" ref="E410">IF(C410=0,INDEX(E$312:E$416,B$339+1-B410),INDEX(N$344:N$1016,C410))</f>
        <v>HC Winnenden</v>
      </c>
      <c r="F410">
        <f t="shared" si="77"/>
        <v>169</v>
      </c>
      <c r="G410">
        <f t="shared" si="78"/>
        <v>99</v>
      </c>
      <c r="H410">
        <f t="shared" si="80"/>
        <v>67</v>
      </c>
      <c r="I410" t="str">
        <f t="shared" si="67"/>
        <v>LL Platz 10 Rang 3</v>
      </c>
      <c r="J410" t="s">
        <v>3</v>
      </c>
      <c r="K410">
        <f t="shared" si="75"/>
        <v>10</v>
      </c>
      <c r="L410">
        <f t="shared" si="74"/>
        <v>3</v>
      </c>
      <c r="M410">
        <f>VLOOKUP(H410+2,HVW!U$174:V$342,2,FALSE)</f>
        <v>52</v>
      </c>
      <c r="N410" t="str" cm="1">
        <f t="array" ref="N410">INDEX(HVW!E$174:E$968,M410)</f>
        <v>HSG Fridingen/Mühlheim 2</v>
      </c>
    </row>
    <row r="411" spans="2:14" x14ac:dyDescent="0.35">
      <c r="B411">
        <f t="shared" si="79"/>
        <v>68</v>
      </c>
      <c r="C411">
        <f t="shared" si="76"/>
        <v>73</v>
      </c>
      <c r="D411" t="str" cm="1">
        <f t="array" ref="D411">IF(C411=0,INDEX(D$312:D$400,B$339+1-B411),INDEX(I$344:I$1016,C411))</f>
        <v>BOL Platz 1 Rang 5</v>
      </c>
      <c r="E411" t="str" cm="1">
        <f t="array" ref="E411">IF(C411=0,INDEX(E$312:E$416,B$339+1-B411),INDEX(N$344:N$1016,C411))</f>
        <v>TSV Weilheim</v>
      </c>
      <c r="F411">
        <f t="shared" si="77"/>
        <v>170</v>
      </c>
      <c r="G411">
        <f t="shared" si="78"/>
        <v>99</v>
      </c>
      <c r="H411">
        <f t="shared" si="80"/>
        <v>68</v>
      </c>
      <c r="I411" t="str">
        <f t="shared" si="67"/>
        <v>LL Platz 10 Rang 4</v>
      </c>
      <c r="J411" t="s">
        <v>3</v>
      </c>
      <c r="K411">
        <f t="shared" si="75"/>
        <v>10</v>
      </c>
      <c r="L411">
        <f t="shared" si="74"/>
        <v>4</v>
      </c>
      <c r="M411">
        <f>VLOOKUP(H411+2,HVW!U$174:V$342,2,FALSE)</f>
        <v>72</v>
      </c>
      <c r="N411" t="str" cm="1">
        <f t="array" ref="N411">INDEX(HVW!E$174:E$968,M411)</f>
        <v>TV Weingarten Handball</v>
      </c>
    </row>
    <row r="412" spans="2:14" x14ac:dyDescent="0.35">
      <c r="B412">
        <f t="shared" si="79"/>
        <v>69</v>
      </c>
      <c r="C412">
        <f t="shared" si="76"/>
        <v>74</v>
      </c>
      <c r="D412" t="str" cm="1">
        <f t="array" ref="D412">IF(C412=0,INDEX(D$312:D$400,B$339+1-B412),INDEX(I$344:I$1016,C412))</f>
        <v>BOL Platz 1 Rang 6</v>
      </c>
      <c r="E412" t="str" cm="1">
        <f t="array" ref="E412">IF(C412=0,INDEX(E$312:E$416,B$339+1-B412),INDEX(N$344:N$1016,C412))</f>
        <v>HSG Odenwald-Bauland</v>
      </c>
      <c r="F412">
        <f t="shared" si="77"/>
        <v>64</v>
      </c>
      <c r="G412">
        <f t="shared" si="78"/>
        <v>-8</v>
      </c>
      <c r="H412">
        <f t="shared" si="80"/>
        <v>69</v>
      </c>
      <c r="I412" t="str">
        <f t="shared" si="67"/>
        <v>BOL Platz 1 Rang 1</v>
      </c>
      <c r="J412" t="s">
        <v>5</v>
      </c>
      <c r="K412">
        <v>1</v>
      </c>
      <c r="L412">
        <v>1</v>
      </c>
      <c r="M412">
        <f>VLOOKUP(H412+2,HVW!U$174:V$342,2,FALSE)</f>
        <v>114</v>
      </c>
      <c r="N412" t="str" cm="1">
        <f t="array" ref="N412">INDEX(HVW!E$174:E$968,M412)</f>
        <v>FSG Altenstadt/Geislingen</v>
      </c>
    </row>
    <row r="413" spans="2:14" x14ac:dyDescent="0.35">
      <c r="B413">
        <f t="shared" si="79"/>
        <v>70</v>
      </c>
      <c r="C413">
        <f t="shared" si="76"/>
        <v>75</v>
      </c>
      <c r="D413" t="str" cm="1">
        <f t="array" ref="D413">IF(C413=0,INDEX(D$312:D$400,B$339+1-B413),INDEX(I$344:I$1016,C413))</f>
        <v>BOL Platz 1 Rang 7</v>
      </c>
      <c r="E413" t="str" cm="1">
        <f t="array" ref="E413">IF(C413=0,INDEX(E$312:E$416,B$339+1-B413),INDEX(N$344:N$1016,C413))</f>
        <v>HC Lustenau</v>
      </c>
      <c r="F413">
        <f t="shared" si="77"/>
        <v>65</v>
      </c>
      <c r="G413">
        <f t="shared" si="78"/>
        <v>-8</v>
      </c>
      <c r="H413">
        <f t="shared" si="80"/>
        <v>70</v>
      </c>
      <c r="I413" t="str">
        <f t="shared" si="67"/>
        <v>BOL Platz 1 Rang 2</v>
      </c>
      <c r="J413" t="s">
        <v>5</v>
      </c>
      <c r="K413">
        <v>1</v>
      </c>
      <c r="L413">
        <v>2</v>
      </c>
      <c r="M413">
        <f>VLOOKUP(H413+2,HVW!U$174:V$342,2,FALSE)</f>
        <v>134</v>
      </c>
      <c r="N413" t="str" cm="1">
        <f t="array" ref="N413">INDEX(HVW!E$174:E$968,M413)</f>
        <v>TV Spaichingen</v>
      </c>
    </row>
    <row r="414" spans="2:14" x14ac:dyDescent="0.35">
      <c r="B414">
        <f t="shared" si="79"/>
        <v>71</v>
      </c>
      <c r="C414">
        <f t="shared" si="76"/>
        <v>76</v>
      </c>
      <c r="D414" t="str" cm="1">
        <f t="array" ref="D414">IF(C414=0,INDEX(D$312:D$400,B$339+1-B414),INDEX(I$344:I$1016,C414))</f>
        <v>BOL Platz 1 Rang 8</v>
      </c>
      <c r="E414" t="str" cm="1">
        <f t="array" ref="E414">IF(C414=0,INDEX(E$312:E$416,B$339+1-B414),INDEX(N$344:N$1016,C414))</f>
        <v>HSG Marbach-Rielingshausen</v>
      </c>
      <c r="F414">
        <f t="shared" si="77"/>
        <v>66</v>
      </c>
      <c r="G414">
        <f t="shared" si="78"/>
        <v>-8</v>
      </c>
      <c r="H414">
        <f t="shared" si="80"/>
        <v>71</v>
      </c>
      <c r="I414" t="str">
        <f t="shared" si="67"/>
        <v>BOL Platz 1 Rang 3</v>
      </c>
      <c r="J414" t="s">
        <v>5</v>
      </c>
      <c r="K414">
        <v>1</v>
      </c>
      <c r="L414">
        <v>3</v>
      </c>
      <c r="M414">
        <f>VLOOKUP(H414+2,HVW!U$174:V$342,2,FALSE)</f>
        <v>124</v>
      </c>
      <c r="N414" t="str" cm="1">
        <f t="array" ref="N414">INDEX(HVW!E$174:E$968,M414)</f>
        <v>TV 1861 Rottenburg</v>
      </c>
    </row>
    <row r="415" spans="2:14" x14ac:dyDescent="0.35">
      <c r="B415">
        <f t="shared" si="79"/>
        <v>72</v>
      </c>
      <c r="C415">
        <f t="shared" si="76"/>
        <v>77</v>
      </c>
      <c r="D415" t="str" cm="1">
        <f t="array" ref="D415">IF(C415=0,INDEX(D$312:D$400,B$339+1-B415),INDEX(I$344:I$1016,C415))</f>
        <v>BOL Platz 2 Rang 1</v>
      </c>
      <c r="E415" t="str" cm="1">
        <f t="array" ref="E415">IF(C415=0,INDEX(E$312:E$416,B$339+1-B415),INDEX(N$344:N$1016,C415))</f>
        <v>HSG Leinfelden-Echterdingen 2</v>
      </c>
      <c r="F415">
        <f t="shared" si="77"/>
        <v>67</v>
      </c>
      <c r="G415">
        <f t="shared" si="78"/>
        <v>-8</v>
      </c>
      <c r="H415">
        <f t="shared" si="80"/>
        <v>72</v>
      </c>
      <c r="I415" t="str">
        <f t="shared" si="67"/>
        <v>BOL Platz 1 Rang 4</v>
      </c>
      <c r="J415" t="s">
        <v>5</v>
      </c>
      <c r="K415">
        <v>1</v>
      </c>
      <c r="L415">
        <v>4</v>
      </c>
      <c r="M415">
        <f>VLOOKUP(H415+2,HVW!U$174:V$342,2,FALSE)</f>
        <v>92</v>
      </c>
      <c r="N415" t="str" cm="1">
        <f t="array" ref="N415">INDEX(HVW!E$174:E$968,M415)</f>
        <v>HC Winnenden</v>
      </c>
    </row>
    <row r="416" spans="2:14" x14ac:dyDescent="0.35">
      <c r="B416">
        <f t="shared" si="79"/>
        <v>73</v>
      </c>
      <c r="C416">
        <f t="shared" si="76"/>
        <v>78</v>
      </c>
      <c r="D416" t="str" cm="1">
        <f t="array" ref="D416">IF(C416=0,INDEX(D$312:D$400,B$339+1-B416),INDEX(I$344:I$1016,C416))</f>
        <v>BOL Platz 2 Rang 2</v>
      </c>
      <c r="E416" t="str" cm="1">
        <f t="array" ref="E416">IF(C416=0,INDEX(E$312:E$416,B$339+1-B416),INDEX(N$344:N$1016,C416))</f>
        <v>Alpla HC Hard</v>
      </c>
      <c r="F416">
        <f t="shared" si="77"/>
        <v>68</v>
      </c>
      <c r="G416">
        <f t="shared" si="78"/>
        <v>-8</v>
      </c>
      <c r="H416">
        <f t="shared" si="80"/>
        <v>73</v>
      </c>
      <c r="I416" t="str">
        <f t="shared" si="67"/>
        <v>BOL Platz 1 Rang 5</v>
      </c>
      <c r="J416" t="s">
        <v>5</v>
      </c>
      <c r="K416">
        <v>1</v>
      </c>
      <c r="L416">
        <v>5</v>
      </c>
      <c r="M416">
        <f>VLOOKUP(H416+2,HVW!U$174:V$342,2,FALSE)</f>
        <v>102</v>
      </c>
      <c r="N416" t="str" cm="1">
        <f t="array" ref="N416">INDEX(HVW!E$174:E$968,M416)</f>
        <v>TSV Weilheim</v>
      </c>
    </row>
    <row r="417" spans="2:14" x14ac:dyDescent="0.35">
      <c r="B417">
        <f t="shared" si="79"/>
        <v>74</v>
      </c>
      <c r="C417">
        <f t="shared" si="76"/>
        <v>79</v>
      </c>
      <c r="D417" t="str" cm="1">
        <f t="array" ref="D417">IF(C417=0,INDEX(D$312:D$400,B$339+1-B417),INDEX(I$344:I$1016,C417))</f>
        <v>BOL Platz 2 Rang 3</v>
      </c>
      <c r="E417" t="str" cm="1">
        <f t="array" ref="E417">IF(C417=0,INDEX(E$312:E$416,B$339+1-B417),INDEX(N$344:N$1016,C417))</f>
        <v>SV Leonberg/Eltingen 2</v>
      </c>
      <c r="F417">
        <f t="shared" si="77"/>
        <v>69</v>
      </c>
      <c r="G417">
        <f t="shared" si="78"/>
        <v>-8</v>
      </c>
      <c r="H417">
        <f t="shared" si="80"/>
        <v>74</v>
      </c>
      <c r="I417" t="str">
        <f t="shared" si="67"/>
        <v>BOL Platz 1 Rang 6</v>
      </c>
      <c r="J417" t="s">
        <v>5</v>
      </c>
      <c r="K417">
        <v>1</v>
      </c>
      <c r="L417">
        <v>6</v>
      </c>
      <c r="M417">
        <f>VLOOKUP(H417+2,HVW!U$174:V$342,2,FALSE)</f>
        <v>73</v>
      </c>
      <c r="N417" t="str" cm="1">
        <f t="array" ref="N417">INDEX(HVW!E$174:E$968,M417)</f>
        <v>HSG Odenwald-Bauland</v>
      </c>
    </row>
    <row r="418" spans="2:14" x14ac:dyDescent="0.35">
      <c r="B418">
        <f t="shared" si="79"/>
        <v>75</v>
      </c>
      <c r="C418">
        <f t="shared" si="76"/>
        <v>80</v>
      </c>
      <c r="D418" t="str" cm="1">
        <f t="array" ref="D418">IF(C418=0,INDEX(D$312:D$400,B$339+1-B418),INDEX(I$344:I$1016,C418))</f>
        <v>BOL Platz 2 Rang 4</v>
      </c>
      <c r="E418" t="str" cm="1">
        <f t="array" ref="E418">IF(C418=0,INDEX(E$312:E$416,B$339+1-B418),INDEX(N$344:N$1016,C418))</f>
        <v>HB Ludwigsburg 2</v>
      </c>
      <c r="F418">
        <f t="shared" si="77"/>
        <v>70</v>
      </c>
      <c r="G418">
        <f t="shared" si="78"/>
        <v>-8</v>
      </c>
      <c r="H418">
        <f t="shared" si="80"/>
        <v>75</v>
      </c>
      <c r="I418" t="str">
        <f t="shared" si="67"/>
        <v>BOL Platz 1 Rang 7</v>
      </c>
      <c r="J418" t="s">
        <v>5</v>
      </c>
      <c r="K418">
        <v>1</v>
      </c>
      <c r="L418">
        <v>7</v>
      </c>
      <c r="M418">
        <f>VLOOKUP(H418+2,HVW!U$174:V$342,2,FALSE)</f>
        <v>143</v>
      </c>
      <c r="N418" t="str" cm="1">
        <f t="array" ref="N418">INDEX(HVW!E$174:E$968,M418)</f>
        <v>HC Lustenau</v>
      </c>
    </row>
    <row r="419" spans="2:14" x14ac:dyDescent="0.35">
      <c r="B419">
        <f t="shared" si="79"/>
        <v>76</v>
      </c>
      <c r="C419">
        <f t="shared" si="76"/>
        <v>81</v>
      </c>
      <c r="D419" t="str" cm="1">
        <f t="array" ref="D419">IF(C419=0,INDEX(D$312:D$400,B$339+1-B419),INDEX(I$344:I$1016,C419))</f>
        <v>BOL Platz 2 Rang 5</v>
      </c>
      <c r="E419" t="str" cm="1">
        <f t="array" ref="E419">IF(C419=0,INDEX(E$312:E$416,B$339+1-B419),INDEX(N$344:N$1016,C419))</f>
        <v>TSV Heiningen 1892 2</v>
      </c>
      <c r="F419">
        <f t="shared" si="77"/>
        <v>71</v>
      </c>
      <c r="G419">
        <f t="shared" si="78"/>
        <v>-8</v>
      </c>
      <c r="H419">
        <f t="shared" si="80"/>
        <v>76</v>
      </c>
      <c r="I419" t="str">
        <f t="shared" si="67"/>
        <v>BOL Platz 1 Rang 8</v>
      </c>
      <c r="J419" t="s">
        <v>5</v>
      </c>
      <c r="K419">
        <v>1</v>
      </c>
      <c r="L419">
        <v>8</v>
      </c>
      <c r="M419">
        <f>VLOOKUP(H419+2,HVW!U$174:V$342,2,FALSE)</f>
        <v>82</v>
      </c>
      <c r="N419" t="str" cm="1">
        <f t="array" ref="N419">INDEX(HVW!E$174:E$968,M419)</f>
        <v>HSG Marbach-Rielingshausen</v>
      </c>
    </row>
    <row r="420" spans="2:14" x14ac:dyDescent="0.35">
      <c r="B420">
        <f t="shared" si="79"/>
        <v>77</v>
      </c>
      <c r="C420">
        <f t="shared" si="76"/>
        <v>82</v>
      </c>
      <c r="D420" t="str" cm="1">
        <f t="array" ref="D420">IF(C420=0,INDEX(D$312:D$400,B$339+1-B420),INDEX(I$344:I$1016,C420))</f>
        <v>BOL Platz 2 Rang 6</v>
      </c>
      <c r="E420" t="str" cm="1">
        <f t="array" ref="E420">IF(C420=0,INDEX(E$312:E$416,B$339+1-B420),INDEX(N$344:N$1016,C420))</f>
        <v>SG Dunningen/Schramberg</v>
      </c>
      <c r="F420">
        <f t="shared" si="77"/>
        <v>72</v>
      </c>
      <c r="G420">
        <f t="shared" si="78"/>
        <v>-8</v>
      </c>
      <c r="H420">
        <f t="shared" si="80"/>
        <v>77</v>
      </c>
      <c r="I420" t="str">
        <f t="shared" si="67"/>
        <v>BOL Platz 2 Rang 1</v>
      </c>
      <c r="J420" t="s">
        <v>5</v>
      </c>
      <c r="K420">
        <v>2</v>
      </c>
      <c r="L420">
        <v>1</v>
      </c>
      <c r="M420">
        <f>VLOOKUP(H420+2,HVW!U$174:V$342,2,FALSE)</f>
        <v>103</v>
      </c>
      <c r="N420" t="str" cm="1">
        <f t="array" ref="N420">INDEX(HVW!E$174:E$968,M420)</f>
        <v>HSG Leinfelden-Echterdingen 2</v>
      </c>
    </row>
    <row r="421" spans="2:14" x14ac:dyDescent="0.35">
      <c r="B421">
        <f t="shared" si="79"/>
        <v>78</v>
      </c>
      <c r="C421">
        <f t="shared" si="76"/>
        <v>83</v>
      </c>
      <c r="D421" t="str" cm="1">
        <f t="array" ref="D421">IF(C421=0,INDEX(D$312:D$400,B$339+1-B421),INDEX(I$344:I$1016,C421))</f>
        <v>BOL Platz 2 Rang 7</v>
      </c>
      <c r="E421" t="str" cm="1">
        <f t="array" ref="E421">IF(C421=0,INDEX(E$312:E$416,B$339+1-B421),INDEX(N$344:N$1016,C421))</f>
        <v>SG Weinstadt 2</v>
      </c>
      <c r="F421">
        <f t="shared" si="77"/>
        <v>73</v>
      </c>
      <c r="G421">
        <f t="shared" si="78"/>
        <v>-8</v>
      </c>
      <c r="H421">
        <f t="shared" si="80"/>
        <v>78</v>
      </c>
      <c r="I421" t="str">
        <f t="shared" ref="I421:I467" si="81">J421&amp;" Platz "&amp;K421&amp;" Rang "&amp;L421</f>
        <v>BOL Platz 2 Rang 2</v>
      </c>
      <c r="J421" t="s">
        <v>5</v>
      </c>
      <c r="K421">
        <v>2</v>
      </c>
      <c r="L421">
        <v>2</v>
      </c>
      <c r="M421">
        <f>VLOOKUP(H421+2,HVW!U$174:V$342,2,FALSE)</f>
        <v>144</v>
      </c>
      <c r="N421" t="str" cm="1">
        <f t="array" ref="N421">INDEX(HVW!E$174:E$968,M421)</f>
        <v>Alpla HC Hard</v>
      </c>
    </row>
    <row r="422" spans="2:14" x14ac:dyDescent="0.35">
      <c r="B422">
        <f t="shared" si="79"/>
        <v>79</v>
      </c>
      <c r="C422">
        <f t="shared" si="76"/>
        <v>84</v>
      </c>
      <c r="D422" t="str" cm="1">
        <f t="array" ref="D422">IF(C422=0,INDEX(D$312:D$400,B$339+1-B422),INDEX(I$344:I$1016,C422))</f>
        <v>BOL Platz 2 Rang 8</v>
      </c>
      <c r="E422" t="str" cm="1">
        <f t="array" ref="E422">IF(C422=0,INDEX(E$312:E$416,B$339+1-B422),INDEX(N$344:N$1016,C422))</f>
        <v>HSG Heilbronn 2</v>
      </c>
      <c r="F422">
        <f t="shared" si="77"/>
        <v>74</v>
      </c>
      <c r="G422">
        <f t="shared" si="78"/>
        <v>-8</v>
      </c>
      <c r="H422">
        <f t="shared" si="80"/>
        <v>79</v>
      </c>
      <c r="I422" t="str">
        <f t="shared" si="81"/>
        <v>BOL Platz 2 Rang 3</v>
      </c>
      <c r="J422" t="s">
        <v>5</v>
      </c>
      <c r="K422">
        <v>2</v>
      </c>
      <c r="L422">
        <v>3</v>
      </c>
      <c r="M422">
        <f>VLOOKUP(H422+2,HVW!U$174:V$342,2,FALSE)</f>
        <v>125</v>
      </c>
      <c r="N422" t="str" cm="1">
        <f t="array" ref="N422">INDEX(HVW!E$174:E$968,M422)</f>
        <v>SV Leonberg/Eltingen 2</v>
      </c>
    </row>
    <row r="423" spans="2:14" x14ac:dyDescent="0.35">
      <c r="B423">
        <f t="shared" si="79"/>
        <v>80</v>
      </c>
      <c r="C423">
        <f t="shared" si="76"/>
        <v>85</v>
      </c>
      <c r="D423" t="str" cm="1">
        <f t="array" ref="D423">IF(C423=0,INDEX(D$312:D$400,B$339+1-B423),INDEX(I$344:I$1016,C423))</f>
        <v>BOL Platz 3 Rang 1</v>
      </c>
      <c r="E423" t="str" cm="1">
        <f t="array" ref="E423">IF(C423=0,INDEX(E$312:E$416,B$339+1-B423),INDEX(N$344:N$1016,C423))</f>
        <v>HC Wernau</v>
      </c>
      <c r="F423">
        <f t="shared" si="77"/>
        <v>75</v>
      </c>
      <c r="G423">
        <f t="shared" si="78"/>
        <v>-8</v>
      </c>
      <c r="H423">
        <f t="shared" si="80"/>
        <v>80</v>
      </c>
      <c r="I423" t="str">
        <f t="shared" si="81"/>
        <v>BOL Platz 2 Rang 4</v>
      </c>
      <c r="J423" t="s">
        <v>5</v>
      </c>
      <c r="K423">
        <v>2</v>
      </c>
      <c r="L423">
        <v>4</v>
      </c>
      <c r="M423">
        <f>VLOOKUP(H423+2,HVW!U$174:V$342,2,FALSE)</f>
        <v>83</v>
      </c>
      <c r="N423" t="str" cm="1">
        <f t="array" ref="N423">INDEX(HVW!E$174:E$968,M423)</f>
        <v>HB Ludwigsburg 2</v>
      </c>
    </row>
    <row r="424" spans="2:14" x14ac:dyDescent="0.35">
      <c r="B424">
        <f t="shared" si="79"/>
        <v>81</v>
      </c>
      <c r="C424">
        <f t="shared" si="76"/>
        <v>86</v>
      </c>
      <c r="D424" t="str" cm="1">
        <f t="array" ref="D424">IF(C424=0,INDEX(D$312:D$400,B$339+1-B424),INDEX(I$344:I$1016,C424))</f>
        <v>BOL Platz 3 Rang 2</v>
      </c>
      <c r="E424" t="str" cm="1">
        <f t="array" ref="E424">IF(C424=0,INDEX(E$312:E$416,B$339+1-B424),INDEX(N$344:N$1016,C424))</f>
        <v>Handballregion Bottwar SG 2</v>
      </c>
      <c r="F424">
        <f t="shared" si="77"/>
        <v>76</v>
      </c>
      <c r="G424">
        <f t="shared" si="78"/>
        <v>-8</v>
      </c>
      <c r="H424" s="2">
        <f t="shared" si="80"/>
        <v>81</v>
      </c>
      <c r="I424" t="str">
        <f t="shared" si="81"/>
        <v>BOL Platz 2 Rang 5</v>
      </c>
      <c r="J424" t="s">
        <v>5</v>
      </c>
      <c r="K424">
        <v>2</v>
      </c>
      <c r="L424">
        <v>5</v>
      </c>
      <c r="M424">
        <f>VLOOKUP(H424+2,HVW!U$174:V$342,2,FALSE)</f>
        <v>115</v>
      </c>
      <c r="N424" t="str" cm="1">
        <f t="array" ref="N424">INDEX(HVW!E$174:E$968,M424)</f>
        <v>TSV Heiningen 1892 2</v>
      </c>
    </row>
    <row r="425" spans="2:14" x14ac:dyDescent="0.35">
      <c r="B425">
        <f t="shared" si="79"/>
        <v>82</v>
      </c>
      <c r="C425">
        <f t="shared" si="76"/>
        <v>87</v>
      </c>
      <c r="D425" t="str" cm="1">
        <f t="array" ref="D425">IF(C425=0,INDEX(D$312:D$400,B$339+1-B425),INDEX(I$344:I$1016,C425))</f>
        <v>BOL Platz 3 Rang 3</v>
      </c>
      <c r="E425" t="str" cm="1">
        <f t="array" ref="E425">IF(C425=0,INDEX(E$312:E$416,B$339+1-B425),INDEX(N$344:N$1016,C425))</f>
        <v>HSG Böblingen/Sindelfingen 2</v>
      </c>
      <c r="F425">
        <f t="shared" si="77"/>
        <v>77</v>
      </c>
      <c r="G425">
        <f t="shared" si="78"/>
        <v>-8</v>
      </c>
      <c r="H425" s="2">
        <f t="shared" si="80"/>
        <v>82</v>
      </c>
      <c r="I425" t="str">
        <f t="shared" si="81"/>
        <v>BOL Platz 2 Rang 6</v>
      </c>
      <c r="J425" t="s">
        <v>5</v>
      </c>
      <c r="K425">
        <v>2</v>
      </c>
      <c r="L425">
        <v>6</v>
      </c>
      <c r="M425">
        <f>VLOOKUP(H425+2,HVW!U$174:V$342,2,FALSE)</f>
        <v>135</v>
      </c>
      <c r="N425" t="str" cm="1">
        <f t="array" ref="N425">INDEX(HVW!E$174:E$968,M425)</f>
        <v>SG Dunningen/Schramberg</v>
      </c>
    </row>
    <row r="426" spans="2:14" x14ac:dyDescent="0.35">
      <c r="B426">
        <f t="shared" si="79"/>
        <v>83</v>
      </c>
      <c r="C426">
        <f t="shared" si="76"/>
        <v>88</v>
      </c>
      <c r="D426" t="str" cm="1">
        <f t="array" ref="D426">IF(C426=0,INDEX(D$312:D$400,B$339+1-B426),INDEX(I$344:I$1016,C426))</f>
        <v>BOL Platz 3 Rang 4</v>
      </c>
      <c r="E426" t="str" cm="1">
        <f t="array" ref="E426">IF(C426=0,INDEX(E$312:E$416,B$339+1-B426),INDEX(N$344:N$1016,C426))</f>
        <v>HSG Friedrichshafen-Fischbach</v>
      </c>
      <c r="F426">
        <f t="shared" si="77"/>
        <v>78</v>
      </c>
      <c r="G426">
        <f t="shared" si="78"/>
        <v>-8</v>
      </c>
      <c r="H426" s="2">
        <f t="shared" si="80"/>
        <v>83</v>
      </c>
      <c r="I426" t="str">
        <f t="shared" si="81"/>
        <v>BOL Platz 2 Rang 7</v>
      </c>
      <c r="J426" t="s">
        <v>5</v>
      </c>
      <c r="K426">
        <v>2</v>
      </c>
      <c r="L426">
        <v>7</v>
      </c>
      <c r="M426">
        <f>VLOOKUP(H426+2,HVW!U$174:V$342,2,FALSE)</f>
        <v>93</v>
      </c>
      <c r="N426" t="str" cm="1">
        <f t="array" ref="N426">INDEX(HVW!E$174:E$968,M426)</f>
        <v>SG Weinstadt 2</v>
      </c>
    </row>
    <row r="427" spans="2:14" x14ac:dyDescent="0.35">
      <c r="B427">
        <f t="shared" si="79"/>
        <v>84</v>
      </c>
      <c r="C427">
        <f t="shared" si="76"/>
        <v>89</v>
      </c>
      <c r="D427" t="str" cm="1">
        <f t="array" ref="D427">IF(C427=0,INDEX(D$312:D$400,B$339+1-B427),INDEX(I$344:I$1016,C427))</f>
        <v>BOL Platz 3 Rang 5</v>
      </c>
      <c r="E427" t="str" cm="1">
        <f t="array" ref="E427">IF(C427=0,INDEX(E$312:E$416,B$339+1-B427),INDEX(N$344:N$1016,C427))</f>
        <v>SV Fellbach</v>
      </c>
      <c r="F427">
        <f t="shared" si="77"/>
        <v>79</v>
      </c>
      <c r="G427">
        <f t="shared" si="78"/>
        <v>-8</v>
      </c>
      <c r="H427" s="2">
        <f t="shared" si="80"/>
        <v>84</v>
      </c>
      <c r="I427" t="str">
        <f t="shared" si="81"/>
        <v>BOL Platz 2 Rang 8</v>
      </c>
      <c r="J427" t="s">
        <v>5</v>
      </c>
      <c r="K427">
        <v>2</v>
      </c>
      <c r="L427">
        <v>8</v>
      </c>
      <c r="M427">
        <f>VLOOKUP(H427+2,HVW!U$174:V$342,2,FALSE)</f>
        <v>74</v>
      </c>
      <c r="N427" t="str" cm="1">
        <f t="array" ref="N427">INDEX(HVW!E$174:E$968,M427)</f>
        <v>HSG Heilbronn 2</v>
      </c>
    </row>
    <row r="428" spans="2:14" x14ac:dyDescent="0.35">
      <c r="B428">
        <f t="shared" si="79"/>
        <v>85</v>
      </c>
      <c r="C428">
        <f t="shared" si="76"/>
        <v>90</v>
      </c>
      <c r="D428" t="str" cm="1">
        <f t="array" ref="D428">IF(C428=0,INDEX(D$312:D$400,B$339+1-B428),INDEX(I$344:I$1016,C428))</f>
        <v>BOL Platz 3 Rang 6</v>
      </c>
      <c r="E428" t="str" cm="1">
        <f t="array" ref="E428">IF(C428=0,INDEX(E$312:E$416,B$339+1-B428),INDEX(N$344:N$1016,C428))</f>
        <v>HSG Baar 2</v>
      </c>
      <c r="F428">
        <f t="shared" si="77"/>
        <v>80</v>
      </c>
      <c r="G428">
        <f t="shared" si="78"/>
        <v>-8</v>
      </c>
      <c r="H428">
        <f t="shared" si="80"/>
        <v>85</v>
      </c>
      <c r="I428" t="str">
        <f t="shared" si="81"/>
        <v>BOL Platz 3 Rang 1</v>
      </c>
      <c r="J428" t="s">
        <v>5</v>
      </c>
      <c r="K428">
        <f t="shared" ref="K428:K467" si="82">K420+1</f>
        <v>3</v>
      </c>
      <c r="L428">
        <v>1</v>
      </c>
      <c r="M428">
        <f>VLOOKUP(H428+2,HVW!U$174:V$342,2,FALSE)</f>
        <v>104</v>
      </c>
      <c r="N428" t="str" cm="1">
        <f t="array" ref="N428">INDEX(HVW!E$174:E$968,M428)</f>
        <v>HC Wernau</v>
      </c>
    </row>
    <row r="429" spans="2:14" x14ac:dyDescent="0.35">
      <c r="B429">
        <f t="shared" si="79"/>
        <v>86</v>
      </c>
      <c r="C429">
        <f t="shared" si="76"/>
        <v>91</v>
      </c>
      <c r="D429" t="str" cm="1">
        <f t="array" ref="D429">IF(C429=0,INDEX(D$312:D$400,B$339+1-B429),INDEX(I$344:I$1016,C429))</f>
        <v>BOL Platz 3 Rang 7</v>
      </c>
      <c r="E429" t="str" cm="1">
        <f t="array" ref="E429">IF(C429=0,INDEX(E$312:E$416,B$339+1-B429),INDEX(N$344:N$1016,C429))</f>
        <v>TSG Schwäbisch Hall</v>
      </c>
      <c r="F429">
        <f t="shared" si="77"/>
        <v>81</v>
      </c>
      <c r="G429">
        <f t="shared" si="78"/>
        <v>-8</v>
      </c>
      <c r="H429">
        <f t="shared" si="80"/>
        <v>86</v>
      </c>
      <c r="I429" t="str">
        <f t="shared" si="81"/>
        <v>BOL Platz 3 Rang 2</v>
      </c>
      <c r="J429" t="s">
        <v>5</v>
      </c>
      <c r="K429">
        <f t="shared" si="82"/>
        <v>3</v>
      </c>
      <c r="L429">
        <v>2</v>
      </c>
      <c r="M429">
        <f>VLOOKUP(H429+2,HVW!U$174:V$342,2,FALSE)</f>
        <v>84</v>
      </c>
      <c r="N429" t="str" cm="1">
        <f t="array" ref="N429">INDEX(HVW!E$174:E$968,M429)</f>
        <v>Handballregion Bottwar SG 2</v>
      </c>
    </row>
    <row r="430" spans="2:14" x14ac:dyDescent="0.35">
      <c r="B430">
        <f t="shared" si="79"/>
        <v>87</v>
      </c>
      <c r="C430">
        <f t="shared" si="76"/>
        <v>92</v>
      </c>
      <c r="D430" t="str" cm="1">
        <f t="array" ref="D430">IF(C430=0,INDEX(D$312:D$400,B$339+1-B430),INDEX(I$344:I$1016,C430))</f>
        <v>BOL Platz 4 Rang 1</v>
      </c>
      <c r="E430" t="str" cm="1">
        <f t="array" ref="E430">IF(C430=0,INDEX(E$312:E$416,B$339+1-B430),INDEX(N$344:N$1016,C430))</f>
        <v>TSV Denkendorf 2</v>
      </c>
      <c r="F430">
        <f t="shared" si="77"/>
        <v>82</v>
      </c>
      <c r="G430">
        <f t="shared" si="78"/>
        <v>-8</v>
      </c>
      <c r="H430">
        <f t="shared" si="80"/>
        <v>87</v>
      </c>
      <c r="I430" t="str">
        <f t="shared" si="81"/>
        <v>BOL Platz 3 Rang 3</v>
      </c>
      <c r="J430" t="s">
        <v>5</v>
      </c>
      <c r="K430">
        <f t="shared" si="82"/>
        <v>3</v>
      </c>
      <c r="L430">
        <v>3</v>
      </c>
      <c r="M430">
        <f>VLOOKUP(H430+2,HVW!U$174:V$342,2,FALSE)</f>
        <v>126</v>
      </c>
      <c r="N430" t="str" cm="1">
        <f t="array" ref="N430">INDEX(HVW!E$174:E$968,M430)</f>
        <v>HSG Böblingen/Sindelfingen 2</v>
      </c>
    </row>
    <row r="431" spans="2:14" x14ac:dyDescent="0.35">
      <c r="B431">
        <f t="shared" si="79"/>
        <v>88</v>
      </c>
      <c r="C431">
        <f t="shared" si="76"/>
        <v>93</v>
      </c>
      <c r="D431" t="str" cm="1">
        <f t="array" ref="D431">IF(C431=0,INDEX(D$312:D$400,B$339+1-B431),INDEX(I$344:I$1016,C431))</f>
        <v>BOL Platz 4 Rang 2</v>
      </c>
      <c r="E431" t="str" cm="1">
        <f t="array" ref="E431">IF(C431=0,INDEX(E$312:E$416,B$339+1-B431),INDEX(N$344:N$1016,C431))</f>
        <v>SG Weissach im Tal</v>
      </c>
      <c r="F431">
        <f t="shared" si="77"/>
        <v>83</v>
      </c>
      <c r="G431">
        <f t="shared" si="78"/>
        <v>-8</v>
      </c>
      <c r="H431">
        <f t="shared" si="80"/>
        <v>88</v>
      </c>
      <c r="I431" t="str">
        <f t="shared" si="81"/>
        <v>BOL Platz 3 Rang 4</v>
      </c>
      <c r="J431" t="s">
        <v>5</v>
      </c>
      <c r="K431">
        <f t="shared" si="82"/>
        <v>3</v>
      </c>
      <c r="L431">
        <v>4</v>
      </c>
      <c r="M431">
        <f>VLOOKUP(H431+2,HVW!U$174:V$342,2,FALSE)</f>
        <v>145</v>
      </c>
      <c r="N431" t="str" cm="1">
        <f t="array" ref="N431">INDEX(HVW!E$174:E$968,M431)</f>
        <v>HSG Friedrichshafen-Fischbach</v>
      </c>
    </row>
    <row r="432" spans="2:14" x14ac:dyDescent="0.35">
      <c r="B432">
        <f t="shared" si="79"/>
        <v>89</v>
      </c>
      <c r="C432">
        <f t="shared" si="76"/>
        <v>94</v>
      </c>
      <c r="D432" t="str" cm="1">
        <f t="array" ref="D432">IF(C432=0,INDEX(D$312:D$400,B$339+1-B432),INDEX(I$344:I$1016,C432))</f>
        <v>BOL Platz 4 Rang 3</v>
      </c>
      <c r="E432" t="str" cm="1">
        <f t="array" ref="E432">IF(C432=0,INDEX(E$312:E$416,B$339+1-B432),INDEX(N$344:N$1016,C432))</f>
        <v>TSV Bartenbach</v>
      </c>
      <c r="F432">
        <f t="shared" si="77"/>
        <v>84</v>
      </c>
      <c r="G432">
        <f t="shared" si="78"/>
        <v>-8</v>
      </c>
      <c r="H432">
        <f t="shared" si="80"/>
        <v>89</v>
      </c>
      <c r="I432" t="str">
        <f t="shared" si="81"/>
        <v>BOL Platz 3 Rang 5</v>
      </c>
      <c r="J432" t="s">
        <v>5</v>
      </c>
      <c r="K432">
        <f t="shared" si="82"/>
        <v>3</v>
      </c>
      <c r="L432">
        <v>5</v>
      </c>
      <c r="M432">
        <f>VLOOKUP(H432+2,HVW!U$174:V$342,2,FALSE)</f>
        <v>94</v>
      </c>
      <c r="N432" t="str" cm="1">
        <f t="array" ref="N432">INDEX(HVW!E$174:E$968,M432)</f>
        <v>SV Fellbach</v>
      </c>
    </row>
    <row r="433" spans="2:14" x14ac:dyDescent="0.35">
      <c r="B433">
        <f t="shared" si="79"/>
        <v>90</v>
      </c>
      <c r="C433">
        <f t="shared" si="76"/>
        <v>95</v>
      </c>
      <c r="D433" t="str" cm="1">
        <f t="array" ref="D433">IF(C433=0,INDEX(D$312:D$400,B$339+1-B433),INDEX(I$344:I$1016,C433))</f>
        <v>BOL Platz 4 Rang 4</v>
      </c>
      <c r="E433" t="str" cm="1">
        <f t="array" ref="E433">IF(C433=0,INDEX(E$312:E$416,B$339+1-B433),INDEX(N$344:N$1016,C433))</f>
        <v>TB Richen</v>
      </c>
      <c r="F433">
        <f t="shared" si="77"/>
        <v>85</v>
      </c>
      <c r="G433">
        <f t="shared" si="78"/>
        <v>-8</v>
      </c>
      <c r="H433">
        <f t="shared" si="80"/>
        <v>90</v>
      </c>
      <c r="I433" t="str">
        <f t="shared" si="81"/>
        <v>BOL Platz 3 Rang 6</v>
      </c>
      <c r="J433" t="s">
        <v>5</v>
      </c>
      <c r="K433">
        <f t="shared" si="82"/>
        <v>3</v>
      </c>
      <c r="L433">
        <v>6</v>
      </c>
      <c r="M433">
        <f>VLOOKUP(H433+2,HVW!U$174:V$342,2,FALSE)</f>
        <v>136</v>
      </c>
      <c r="N433" t="str" cm="1">
        <f t="array" ref="N433">INDEX(HVW!E$174:E$968,M433)</f>
        <v>HSG Baar 2</v>
      </c>
    </row>
    <row r="434" spans="2:14" x14ac:dyDescent="0.35">
      <c r="B434">
        <f t="shared" si="79"/>
        <v>91</v>
      </c>
      <c r="C434">
        <f t="shared" si="76"/>
        <v>96</v>
      </c>
      <c r="D434" t="str" cm="1">
        <f t="array" ref="D434">IF(C434=0,INDEX(D$312:D$400,B$339+1-B434),INDEX(I$344:I$1016,C434))</f>
        <v>BOL Platz 4 Rang 5</v>
      </c>
      <c r="E434" t="str" cm="1">
        <f t="array" ref="E434">IF(C434=0,INDEX(E$312:E$416,B$339+1-B434),INDEX(N$344:N$1016,C434))</f>
        <v>VfL Pfullingen 2</v>
      </c>
      <c r="F434">
        <f t="shared" si="77"/>
        <v>86</v>
      </c>
      <c r="G434">
        <f t="shared" si="78"/>
        <v>-8</v>
      </c>
      <c r="H434">
        <f t="shared" si="80"/>
        <v>91</v>
      </c>
      <c r="I434" t="str">
        <f t="shared" si="81"/>
        <v>BOL Platz 3 Rang 7</v>
      </c>
      <c r="J434" t="s">
        <v>5</v>
      </c>
      <c r="K434">
        <f t="shared" si="82"/>
        <v>3</v>
      </c>
      <c r="L434">
        <v>7</v>
      </c>
      <c r="M434">
        <f>VLOOKUP(H434+2,HVW!U$174:V$342,2,FALSE)</f>
        <v>75</v>
      </c>
      <c r="N434" t="str" cm="1">
        <f t="array" ref="N434">INDEX(HVW!E$174:E$968,M434)</f>
        <v>TSG Schwäbisch Hall</v>
      </c>
    </row>
    <row r="435" spans="2:14" x14ac:dyDescent="0.35">
      <c r="B435">
        <f t="shared" si="79"/>
        <v>92</v>
      </c>
      <c r="C435">
        <f t="shared" si="76"/>
        <v>97</v>
      </c>
      <c r="D435" t="str" cm="1">
        <f t="array" ref="D435">IF(C435=0,INDEX(D$312:D$400,B$339+1-B435),INDEX(I$344:I$1016,C435))</f>
        <v>BOL Platz 4 Rang 6</v>
      </c>
      <c r="E435" t="str" cm="1">
        <f t="array" ref="E435">IF(C435=0,INDEX(E$312:E$416,B$339+1-B435),INDEX(N$344:N$1016,C435))</f>
        <v>HSG Neckartal</v>
      </c>
      <c r="F435">
        <f t="shared" si="77"/>
        <v>87</v>
      </c>
      <c r="G435">
        <f t="shared" si="78"/>
        <v>-8</v>
      </c>
      <c r="H435">
        <f t="shared" si="80"/>
        <v>92</v>
      </c>
      <c r="I435" t="str">
        <f t="shared" si="81"/>
        <v>BOL Platz 4 Rang 1</v>
      </c>
      <c r="J435" t="s">
        <v>5</v>
      </c>
      <c r="K435">
        <v>4</v>
      </c>
      <c r="L435">
        <v>1</v>
      </c>
      <c r="M435">
        <f>VLOOKUP(H435+2,HVW!U$174:V$342,2,FALSE)</f>
        <v>105</v>
      </c>
      <c r="N435" t="str" cm="1">
        <f t="array" ref="N435">INDEX(HVW!E$174:E$968,M435)</f>
        <v>TSV Denkendorf 2</v>
      </c>
    </row>
    <row r="436" spans="2:14" x14ac:dyDescent="0.35">
      <c r="B436">
        <f t="shared" si="79"/>
        <v>93</v>
      </c>
      <c r="C436">
        <f t="shared" si="76"/>
        <v>98</v>
      </c>
      <c r="D436" t="str" cm="1">
        <f t="array" ref="D436">IF(C436=0,INDEX(D$312:D$400,B$339+1-B436),INDEX(I$344:I$1016,C436))</f>
        <v>BOL Platz 4 Rang 7</v>
      </c>
      <c r="E436" t="str" cm="1">
        <f t="array" ref="E436">IF(C436=0,INDEX(E$312:E$416,B$339+1-B436),INDEX(N$344:N$1016,C436))</f>
        <v>SV Hohenacker-Neustadt 2</v>
      </c>
      <c r="F436">
        <f t="shared" si="77"/>
        <v>88</v>
      </c>
      <c r="G436">
        <f t="shared" si="78"/>
        <v>-8</v>
      </c>
      <c r="H436">
        <f t="shared" si="80"/>
        <v>93</v>
      </c>
      <c r="I436" t="str">
        <f t="shared" si="81"/>
        <v>BOL Platz 4 Rang 2</v>
      </c>
      <c r="J436" t="s">
        <v>5</v>
      </c>
      <c r="K436">
        <f t="shared" si="82"/>
        <v>4</v>
      </c>
      <c r="L436">
        <v>2</v>
      </c>
      <c r="M436">
        <f>VLOOKUP(H436+2,HVW!U$174:V$342,2,FALSE)</f>
        <v>85</v>
      </c>
      <c r="N436" t="str" cm="1">
        <f t="array" ref="N436">INDEX(HVW!E$174:E$968,M436)</f>
        <v>SG Weissach im Tal</v>
      </c>
    </row>
    <row r="437" spans="2:14" x14ac:dyDescent="0.35">
      <c r="B437">
        <f t="shared" si="79"/>
        <v>94</v>
      </c>
      <c r="C437">
        <f t="shared" si="76"/>
        <v>99</v>
      </c>
      <c r="D437" t="str" cm="1">
        <f t="array" ref="D437">IF(C437=0,INDEX(D$312:D$400,B$339+1-B437),INDEX(I$344:I$1016,C437))</f>
        <v>BOL Platz 4 Rang 8</v>
      </c>
      <c r="E437" t="str" cm="1">
        <f t="array" ref="E437">IF(C437=0,INDEX(E$312:E$416,B$339+1-B437),INDEX(N$344:N$1016,C437))</f>
        <v>HC LJG Vogt</v>
      </c>
      <c r="F437">
        <f t="shared" si="77"/>
        <v>89</v>
      </c>
      <c r="G437">
        <f t="shared" si="78"/>
        <v>-8</v>
      </c>
      <c r="H437">
        <f t="shared" si="80"/>
        <v>94</v>
      </c>
      <c r="I437" t="str">
        <f t="shared" si="81"/>
        <v>BOL Platz 4 Rang 3</v>
      </c>
      <c r="J437" t="s">
        <v>5</v>
      </c>
      <c r="K437">
        <f t="shared" si="82"/>
        <v>4</v>
      </c>
      <c r="L437">
        <v>3</v>
      </c>
      <c r="M437">
        <f>VLOOKUP(H437+2,HVW!U$174:V$342,2,FALSE)</f>
        <v>117</v>
      </c>
      <c r="N437" t="str" cm="1">
        <f t="array" ref="N437">INDEX(HVW!E$174:E$968,M437)</f>
        <v>TSV Bartenbach</v>
      </c>
    </row>
    <row r="438" spans="2:14" x14ac:dyDescent="0.35">
      <c r="B438">
        <f t="shared" si="79"/>
        <v>95</v>
      </c>
      <c r="C438">
        <f t="shared" si="76"/>
        <v>100</v>
      </c>
      <c r="D438" t="str" cm="1">
        <f t="array" ref="D438">IF(C438=0,INDEX(D$312:D$400,B$339+1-B438),INDEX(I$344:I$1016,C438))</f>
        <v>BOL Platz 5 Rang 1</v>
      </c>
      <c r="E438" t="str" cm="1">
        <f t="array" ref="E438">IF(C438=0,INDEX(E$312:E$416,B$339+1-B438),INDEX(N$344:N$1016,C438))</f>
        <v>HSG Oberkochen/Königsbronn</v>
      </c>
      <c r="F438">
        <f t="shared" si="77"/>
        <v>90</v>
      </c>
      <c r="G438">
        <f t="shared" si="78"/>
        <v>-8</v>
      </c>
      <c r="H438">
        <f t="shared" si="80"/>
        <v>95</v>
      </c>
      <c r="I438" t="str">
        <f t="shared" si="81"/>
        <v>BOL Platz 4 Rang 4</v>
      </c>
      <c r="J438" t="s">
        <v>5</v>
      </c>
      <c r="K438">
        <f t="shared" si="82"/>
        <v>4</v>
      </c>
      <c r="L438">
        <v>4</v>
      </c>
      <c r="M438">
        <f>VLOOKUP(H438+2,HVW!U$174:V$342,2,FALSE)</f>
        <v>76</v>
      </c>
      <c r="N438" t="str" cm="1">
        <f t="array" ref="N438">INDEX(HVW!E$174:E$968,M438)</f>
        <v>TB Richen</v>
      </c>
    </row>
    <row r="439" spans="2:14" x14ac:dyDescent="0.35">
      <c r="B439">
        <f t="shared" si="79"/>
        <v>96</v>
      </c>
      <c r="C439">
        <f t="shared" si="76"/>
        <v>101</v>
      </c>
      <c r="D439" t="str" cm="1">
        <f t="array" ref="D439">IF(C439=0,INDEX(D$312:D$400,B$339+1-B439),INDEX(I$344:I$1016,C439))</f>
        <v>BOL Platz 5 Rang 2</v>
      </c>
      <c r="E439" t="str" cm="1">
        <f t="array" ref="E439">IF(C439=0,INDEX(E$312:E$416,B$339+1-B439),INDEX(N$344:N$1016,C439))</f>
        <v>HSG Ebersbach/Bünzwangen</v>
      </c>
      <c r="F439">
        <f t="shared" si="77"/>
        <v>91</v>
      </c>
      <c r="G439">
        <f t="shared" si="78"/>
        <v>-8</v>
      </c>
      <c r="H439">
        <f t="shared" si="80"/>
        <v>96</v>
      </c>
      <c r="I439" t="str">
        <f t="shared" si="81"/>
        <v>BOL Platz 4 Rang 5</v>
      </c>
      <c r="J439" t="s">
        <v>5</v>
      </c>
      <c r="K439">
        <f t="shared" si="82"/>
        <v>4</v>
      </c>
      <c r="L439">
        <v>5</v>
      </c>
      <c r="M439">
        <f>VLOOKUP(H439+2,HVW!U$174:V$342,2,FALSE)</f>
        <v>127</v>
      </c>
      <c r="N439" t="str" cm="1">
        <f t="array" ref="N439">INDEX(HVW!E$174:E$968,M439)</f>
        <v>VfL Pfullingen 2</v>
      </c>
    </row>
    <row r="440" spans="2:14" x14ac:dyDescent="0.35">
      <c r="B440">
        <f t="shared" si="79"/>
        <v>97</v>
      </c>
      <c r="C440">
        <f t="shared" ref="C440:C467" si="83">IF(B440&lt;=B$339,0,VLOOKUP(B440,$F$344:$H$471,3,FALSE))</f>
        <v>102</v>
      </c>
      <c r="D440" t="str" cm="1">
        <f t="array" ref="D440">IF(C440=0,INDEX(D$312:D$400,B$339+1-B440),INDEX(I$344:I$1016,C440))</f>
        <v>BOL Platz 5 Rang 3</v>
      </c>
      <c r="E440" t="str" cm="1">
        <f t="array" ref="E440">IF(C440=0,INDEX(E$312:E$416,B$339+1-B440),INDEX(N$344:N$1016,C440))</f>
        <v>TV Onstmettingen</v>
      </c>
      <c r="F440">
        <f t="shared" ref="F440:F467" si="84">H440+G440+B$339</f>
        <v>92</v>
      </c>
      <c r="G440">
        <f t="shared" ref="G440:G467" si="85">VLOOKUP(H440,I$331:J$339,2,TRUE)</f>
        <v>-8</v>
      </c>
      <c r="H440">
        <f t="shared" si="80"/>
        <v>97</v>
      </c>
      <c r="I440" t="str">
        <f t="shared" si="81"/>
        <v>BOL Platz 4 Rang 6</v>
      </c>
      <c r="J440" t="s">
        <v>5</v>
      </c>
      <c r="K440">
        <f t="shared" si="82"/>
        <v>4</v>
      </c>
      <c r="L440">
        <v>6</v>
      </c>
      <c r="M440">
        <f>VLOOKUP(H440+2,HVW!U$174:V$342,2,FALSE)</f>
        <v>137</v>
      </c>
      <c r="N440" t="str" cm="1">
        <f t="array" ref="N440">INDEX(HVW!E$174:E$968,M440)</f>
        <v>HSG Neckartal</v>
      </c>
    </row>
    <row r="441" spans="2:14" x14ac:dyDescent="0.35">
      <c r="B441">
        <f t="shared" si="79"/>
        <v>98</v>
      </c>
      <c r="C441">
        <f t="shared" si="83"/>
        <v>103</v>
      </c>
      <c r="D441" t="str" cm="1">
        <f t="array" ref="D441">IF(C441=0,INDEX(D$312:D$400,B$339+1-B441),INDEX(I$344:I$1016,C441))</f>
        <v>BOL Platz 5 Rang 4</v>
      </c>
      <c r="E441" t="str" cm="1">
        <f t="array" ref="E441">IF(C441=0,INDEX(E$312:E$416,B$339+1-B441),INDEX(N$344:N$1016,C441))</f>
        <v>Bregenz Handball</v>
      </c>
      <c r="F441">
        <f t="shared" si="84"/>
        <v>93</v>
      </c>
      <c r="G441">
        <f t="shared" si="85"/>
        <v>-8</v>
      </c>
      <c r="H441">
        <f t="shared" si="80"/>
        <v>98</v>
      </c>
      <c r="I441" t="str">
        <f t="shared" si="81"/>
        <v>BOL Platz 4 Rang 7</v>
      </c>
      <c r="J441" t="s">
        <v>5</v>
      </c>
      <c r="K441">
        <f t="shared" si="82"/>
        <v>4</v>
      </c>
      <c r="L441">
        <v>7</v>
      </c>
      <c r="M441">
        <f>VLOOKUP(H441+2,HVW!U$174:V$342,2,FALSE)</f>
        <v>95</v>
      </c>
      <c r="N441" t="str" cm="1">
        <f t="array" ref="N441">INDEX(HVW!E$174:E$968,M441)</f>
        <v>SV Hohenacker-Neustadt 2</v>
      </c>
    </row>
    <row r="442" spans="2:14" x14ac:dyDescent="0.35">
      <c r="B442">
        <f t="shared" si="79"/>
        <v>99</v>
      </c>
      <c r="C442">
        <f t="shared" si="83"/>
        <v>104</v>
      </c>
      <c r="D442" t="str" cm="1">
        <f t="array" ref="D442">IF(C442=0,INDEX(D$312:D$400,B$339+1-B442),INDEX(I$344:I$1016,C442))</f>
        <v>BOL Platz 5 Rang 5</v>
      </c>
      <c r="E442" t="str" cm="1">
        <f t="array" ref="E442">IF(C442=0,INDEX(E$312:E$416,B$339+1-B442),INDEX(N$344:N$1016,C442))</f>
        <v>TV Mosbach 2</v>
      </c>
      <c r="F442">
        <f t="shared" si="84"/>
        <v>94</v>
      </c>
      <c r="G442">
        <f t="shared" si="85"/>
        <v>-8</v>
      </c>
      <c r="H442">
        <f t="shared" si="80"/>
        <v>99</v>
      </c>
      <c r="I442" t="str">
        <f t="shared" si="81"/>
        <v>BOL Platz 4 Rang 8</v>
      </c>
      <c r="J442" t="s">
        <v>5</v>
      </c>
      <c r="K442">
        <f t="shared" si="82"/>
        <v>4</v>
      </c>
      <c r="L442">
        <v>8</v>
      </c>
      <c r="M442">
        <f>VLOOKUP(H442+2,HVW!U$174:V$342,2,FALSE)</f>
        <v>146</v>
      </c>
      <c r="N442" t="str" cm="1">
        <f t="array" ref="N442">INDEX(HVW!E$174:E$968,M442)</f>
        <v>HC LJG Vogt</v>
      </c>
    </row>
    <row r="443" spans="2:14" x14ac:dyDescent="0.35">
      <c r="B443">
        <f t="shared" si="79"/>
        <v>100</v>
      </c>
      <c r="C443">
        <f t="shared" si="83"/>
        <v>105</v>
      </c>
      <c r="D443" t="str" cm="1">
        <f t="array" ref="D443">IF(C443=0,INDEX(D$312:D$400,B$339+1-B443),INDEX(I$344:I$1016,C443))</f>
        <v>BOL Platz 5 Rang 6</v>
      </c>
      <c r="E443" t="str" cm="1">
        <f t="array" ref="E443">IF(C443=0,INDEX(E$312:E$416,B$339+1-B443),INDEX(N$344:N$1016,C443))</f>
        <v>TSV Asperg</v>
      </c>
      <c r="F443">
        <f t="shared" si="84"/>
        <v>95</v>
      </c>
      <c r="G443">
        <f t="shared" si="85"/>
        <v>-8</v>
      </c>
      <c r="H443">
        <f t="shared" si="80"/>
        <v>100</v>
      </c>
      <c r="I443" t="str">
        <f t="shared" si="81"/>
        <v>BOL Platz 5 Rang 1</v>
      </c>
      <c r="J443" t="s">
        <v>5</v>
      </c>
      <c r="K443">
        <f t="shared" si="82"/>
        <v>5</v>
      </c>
      <c r="L443">
        <v>1</v>
      </c>
      <c r="M443">
        <f>VLOOKUP(H443+2,HVW!U$174:V$342,2,FALSE)</f>
        <v>118</v>
      </c>
      <c r="N443" t="str" cm="1">
        <f t="array" ref="N443">INDEX(HVW!E$174:E$968,M443)</f>
        <v>HSG Oberkochen/Königsbronn</v>
      </c>
    </row>
    <row r="444" spans="2:14" x14ac:dyDescent="0.35">
      <c r="B444">
        <f t="shared" si="79"/>
        <v>101</v>
      </c>
      <c r="C444">
        <f t="shared" si="83"/>
        <v>106</v>
      </c>
      <c r="D444" t="str" cm="1">
        <f t="array" ref="D444">IF(C444=0,INDEX(D$312:D$400,B$339+1-B444),INDEX(I$344:I$1016,C444))</f>
        <v>BOL Platz 5 Rang 7</v>
      </c>
      <c r="E444" t="str" cm="1">
        <f t="array" ref="E444">IF(C444=0,INDEX(E$312:E$416,B$339+1-B444),INDEX(N$344:N$1016,C444))</f>
        <v>SG H2Ku Herrenberg 2</v>
      </c>
      <c r="F444">
        <f t="shared" si="84"/>
        <v>96</v>
      </c>
      <c r="G444">
        <f t="shared" si="85"/>
        <v>-8</v>
      </c>
      <c r="H444">
        <f t="shared" si="80"/>
        <v>101</v>
      </c>
      <c r="I444" t="str">
        <f t="shared" si="81"/>
        <v>BOL Platz 5 Rang 2</v>
      </c>
      <c r="J444" t="s">
        <v>5</v>
      </c>
      <c r="K444">
        <f t="shared" si="82"/>
        <v>5</v>
      </c>
      <c r="L444">
        <v>2</v>
      </c>
      <c r="M444">
        <f>VLOOKUP(H444+2,HVW!U$174:V$342,2,FALSE)</f>
        <v>106</v>
      </c>
      <c r="N444" t="str" cm="1">
        <f t="array" ref="N444">INDEX(HVW!E$174:E$968,M444)</f>
        <v>HSG Ebersbach/Bünzwangen</v>
      </c>
    </row>
    <row r="445" spans="2:14" x14ac:dyDescent="0.35">
      <c r="B445">
        <f t="shared" si="79"/>
        <v>102</v>
      </c>
      <c r="C445">
        <f t="shared" si="83"/>
        <v>107</v>
      </c>
      <c r="D445" t="str" cm="1">
        <f t="array" ref="D445">IF(C445=0,INDEX(D$312:D$400,B$339+1-B445),INDEX(I$344:I$1016,C445))</f>
        <v>BOL Platz 5 Rang 8</v>
      </c>
      <c r="E445" t="str" cm="1">
        <f t="array" ref="E445">IF(C445=0,INDEX(E$312:E$416,B$339+1-B445),INDEX(N$344:N$1016,C445))</f>
        <v>MTV Stuttgart</v>
      </c>
      <c r="F445">
        <f t="shared" si="84"/>
        <v>97</v>
      </c>
      <c r="G445">
        <f t="shared" si="85"/>
        <v>-8</v>
      </c>
      <c r="H445">
        <f t="shared" si="80"/>
        <v>102</v>
      </c>
      <c r="I445" t="str">
        <f t="shared" si="81"/>
        <v>BOL Platz 5 Rang 3</v>
      </c>
      <c r="J445" t="s">
        <v>5</v>
      </c>
      <c r="K445">
        <f t="shared" si="82"/>
        <v>5</v>
      </c>
      <c r="L445">
        <v>3</v>
      </c>
      <c r="M445">
        <f>VLOOKUP(H445+2,HVW!U$174:V$342,2,FALSE)</f>
        <v>138</v>
      </c>
      <c r="N445" t="str" cm="1">
        <f t="array" ref="N445">INDEX(HVW!E$174:E$968,M445)</f>
        <v>TV Onstmettingen</v>
      </c>
    </row>
    <row r="446" spans="2:14" x14ac:dyDescent="0.35">
      <c r="B446">
        <f t="shared" si="79"/>
        <v>103</v>
      </c>
      <c r="C446">
        <f t="shared" si="83"/>
        <v>108</v>
      </c>
      <c r="D446" t="str" cm="1">
        <f t="array" ref="D446">IF(C446=0,INDEX(D$312:D$400,B$339+1-B446),INDEX(I$344:I$1016,C446))</f>
        <v>BOL Platz 6 Rang 1</v>
      </c>
      <c r="E446" t="str" cm="1">
        <f t="array" ref="E446">IF(C446=0,INDEX(E$312:E$416,B$339+1-B446),INDEX(N$344:N$1016,C446))</f>
        <v>VfL Kirchheim</v>
      </c>
      <c r="F446">
        <f t="shared" si="84"/>
        <v>98</v>
      </c>
      <c r="G446">
        <f t="shared" si="85"/>
        <v>-8</v>
      </c>
      <c r="H446">
        <f t="shared" si="80"/>
        <v>103</v>
      </c>
      <c r="I446" t="str">
        <f t="shared" si="81"/>
        <v>BOL Platz 5 Rang 4</v>
      </c>
      <c r="J446" t="s">
        <v>5</v>
      </c>
      <c r="K446">
        <f t="shared" si="82"/>
        <v>5</v>
      </c>
      <c r="L446">
        <v>4</v>
      </c>
      <c r="M446">
        <f>VLOOKUP(H446+2,HVW!U$174:V$342,2,FALSE)</f>
        <v>147</v>
      </c>
      <c r="N446" t="str" cm="1">
        <f t="array" ref="N446">INDEX(HVW!E$174:E$968,M446)</f>
        <v>Bregenz Handball</v>
      </c>
    </row>
    <row r="447" spans="2:14" x14ac:dyDescent="0.35">
      <c r="B447">
        <f t="shared" si="79"/>
        <v>104</v>
      </c>
      <c r="C447">
        <f t="shared" si="83"/>
        <v>109</v>
      </c>
      <c r="D447" t="str" cm="1">
        <f t="array" ref="D447">IF(C447=0,INDEX(D$312:D$400,B$339+1-B447),INDEX(I$344:I$1016,C447))</f>
        <v>BOL Platz 6 Rang 2</v>
      </c>
      <c r="E447" t="str" cm="1">
        <f t="array" ref="E447">IF(C447=0,INDEX(E$312:E$416,B$339+1-B447),INDEX(N$344:N$1016,C447))</f>
        <v>SG Argental 2</v>
      </c>
      <c r="F447">
        <f t="shared" si="84"/>
        <v>99</v>
      </c>
      <c r="G447">
        <f t="shared" si="85"/>
        <v>-8</v>
      </c>
      <c r="H447">
        <f t="shared" si="80"/>
        <v>104</v>
      </c>
      <c r="I447" t="str">
        <f t="shared" si="81"/>
        <v>BOL Platz 5 Rang 5</v>
      </c>
      <c r="J447" t="s">
        <v>5</v>
      </c>
      <c r="K447">
        <f t="shared" si="82"/>
        <v>5</v>
      </c>
      <c r="L447">
        <v>5</v>
      </c>
      <c r="M447">
        <f>VLOOKUP(H447+2,HVW!U$174:V$342,2,FALSE)</f>
        <v>77</v>
      </c>
      <c r="N447" t="str" cm="1">
        <f t="array" ref="N447">INDEX(HVW!E$174:E$968,M447)</f>
        <v>TV Mosbach 2</v>
      </c>
    </row>
    <row r="448" spans="2:14" x14ac:dyDescent="0.35">
      <c r="B448">
        <f t="shared" si="79"/>
        <v>105</v>
      </c>
      <c r="C448">
        <f t="shared" si="83"/>
        <v>110</v>
      </c>
      <c r="D448" t="str" cm="1">
        <f t="array" ref="D448">IF(C448=0,INDEX(D$312:D$400,B$339+1-B448),INDEX(I$344:I$1016,C448))</f>
        <v>BOL Platz 6 Rang 3</v>
      </c>
      <c r="E448" t="str" cm="1">
        <f t="array" ref="E448">IF(C448=0,INDEX(E$312:E$416,B$339+1-B448),INDEX(N$344:N$1016,C448))</f>
        <v>HSG Rietheim-Weilheim</v>
      </c>
      <c r="F448">
        <f t="shared" si="84"/>
        <v>100</v>
      </c>
      <c r="G448">
        <f t="shared" si="85"/>
        <v>-8</v>
      </c>
      <c r="H448">
        <f t="shared" si="80"/>
        <v>105</v>
      </c>
      <c r="I448" t="str">
        <f t="shared" si="81"/>
        <v>BOL Platz 5 Rang 6</v>
      </c>
      <c r="J448" t="s">
        <v>5</v>
      </c>
      <c r="K448">
        <f t="shared" si="82"/>
        <v>5</v>
      </c>
      <c r="L448">
        <v>6</v>
      </c>
      <c r="M448">
        <f>VLOOKUP(H448+2,HVW!U$174:V$342,2,FALSE)</f>
        <v>86</v>
      </c>
      <c r="N448" t="str" cm="1">
        <f t="array" ref="N448">INDEX(HVW!E$174:E$968,M448)</f>
        <v>TSV Asperg</v>
      </c>
    </row>
    <row r="449" spans="2:14" x14ac:dyDescent="0.35">
      <c r="B449">
        <f t="shared" si="79"/>
        <v>106</v>
      </c>
      <c r="C449">
        <f t="shared" si="83"/>
        <v>111</v>
      </c>
      <c r="D449" t="str" cm="1">
        <f t="array" ref="D449">IF(C449=0,INDEX(D$312:D$400,B$339+1-B449),INDEX(I$344:I$1016,C449))</f>
        <v>BOL Platz 6 Rang 4</v>
      </c>
      <c r="E449" t="str" cm="1">
        <f t="array" ref="E449">IF(C449=0,INDEX(E$312:E$416,B$339+1-B449),INDEX(N$344:N$1016,C449))</f>
        <v>SG AmmerGäu</v>
      </c>
      <c r="F449">
        <f t="shared" si="84"/>
        <v>101</v>
      </c>
      <c r="G449">
        <f t="shared" si="85"/>
        <v>-8</v>
      </c>
      <c r="H449">
        <f t="shared" si="80"/>
        <v>106</v>
      </c>
      <c r="I449" t="str">
        <f t="shared" si="81"/>
        <v>BOL Platz 5 Rang 7</v>
      </c>
      <c r="J449" t="s">
        <v>5</v>
      </c>
      <c r="K449">
        <f t="shared" si="82"/>
        <v>5</v>
      </c>
      <c r="L449">
        <v>7</v>
      </c>
      <c r="M449">
        <f>VLOOKUP(H449+2,HVW!U$174:V$342,2,FALSE)</f>
        <v>128</v>
      </c>
      <c r="N449" t="str" cm="1">
        <f t="array" ref="N449">INDEX(HVW!E$174:E$968,M449)</f>
        <v>SG H2Ku Herrenberg 2</v>
      </c>
    </row>
    <row r="450" spans="2:14" x14ac:dyDescent="0.35">
      <c r="B450">
        <f t="shared" si="79"/>
        <v>107</v>
      </c>
      <c r="C450">
        <f t="shared" si="83"/>
        <v>112</v>
      </c>
      <c r="D450" t="str" cm="1">
        <f t="array" ref="D450">IF(C450=0,INDEX(D$312:D$400,B$339+1-B450),INDEX(I$344:I$1016,C450))</f>
        <v>BOL Platz 6 Rang 5</v>
      </c>
      <c r="E450" t="str" cm="1">
        <f t="array" ref="E450">IF(C450=0,INDEX(E$312:E$416,B$339+1-B450),INDEX(N$344:N$1016,C450))</f>
        <v>Sport-Union Neckarsulm 3</v>
      </c>
      <c r="F450">
        <f t="shared" si="84"/>
        <v>102</v>
      </c>
      <c r="G450">
        <f t="shared" si="85"/>
        <v>-8</v>
      </c>
      <c r="H450">
        <f t="shared" si="80"/>
        <v>107</v>
      </c>
      <c r="I450" t="str">
        <f t="shared" si="81"/>
        <v>BOL Platz 5 Rang 8</v>
      </c>
      <c r="J450" t="s">
        <v>5</v>
      </c>
      <c r="K450">
        <f t="shared" si="82"/>
        <v>5</v>
      </c>
      <c r="L450">
        <v>8</v>
      </c>
      <c r="M450">
        <f>VLOOKUP(H450+2,HVW!U$174:V$342,2,FALSE)</f>
        <v>96</v>
      </c>
      <c r="N450" t="str" cm="1">
        <f t="array" ref="N450">INDEX(HVW!E$174:E$968,M450)</f>
        <v>MTV Stuttgart</v>
      </c>
    </row>
    <row r="451" spans="2:14" x14ac:dyDescent="0.35">
      <c r="B451">
        <f t="shared" si="79"/>
        <v>108</v>
      </c>
      <c r="C451">
        <f t="shared" si="83"/>
        <v>113</v>
      </c>
      <c r="D451" t="str" cm="1">
        <f t="array" ref="D451">IF(C451=0,INDEX(D$312:D$400,B$339+1-B451),INDEX(I$344:I$1016,C451))</f>
        <v>BOL Platz 6 Rang 6</v>
      </c>
      <c r="E451" t="str" cm="1">
        <f t="array" ref="E451">IF(C451=0,INDEX(E$312:E$416,B$339+1-B451),INDEX(N$344:N$1016,C451))</f>
        <v>HC Metter-Enz</v>
      </c>
      <c r="F451">
        <f t="shared" si="84"/>
        <v>103</v>
      </c>
      <c r="G451">
        <f t="shared" si="85"/>
        <v>-8</v>
      </c>
      <c r="H451">
        <f t="shared" si="80"/>
        <v>108</v>
      </c>
      <c r="I451" t="str">
        <f t="shared" si="81"/>
        <v>BOL Platz 6 Rang 1</v>
      </c>
      <c r="J451" t="s">
        <v>5</v>
      </c>
      <c r="K451">
        <f t="shared" si="82"/>
        <v>6</v>
      </c>
      <c r="L451">
        <v>1</v>
      </c>
      <c r="M451">
        <f>VLOOKUP(H451+2,HVW!U$174:V$342,2,FALSE)</f>
        <v>107</v>
      </c>
      <c r="N451" t="str" cm="1">
        <f t="array" ref="N451">INDEX(HVW!E$174:E$968,M451)</f>
        <v>VfL Kirchheim</v>
      </c>
    </row>
    <row r="452" spans="2:14" x14ac:dyDescent="0.35">
      <c r="B452">
        <f t="shared" si="79"/>
        <v>109</v>
      </c>
      <c r="C452">
        <f t="shared" si="83"/>
        <v>114</v>
      </c>
      <c r="D452" t="str" cm="1">
        <f t="array" ref="D452">IF(C452=0,INDEX(D$312:D$400,B$339+1-B452),INDEX(I$344:I$1016,C452))</f>
        <v>BOL Platz 6 Rang 7</v>
      </c>
      <c r="E452" t="str" cm="1">
        <f t="array" ref="E452">IF(C452=0,INDEX(E$312:E$416,B$339+1-B452),INDEX(N$344:N$1016,C452))</f>
        <v>HSG Oberer Neckar</v>
      </c>
      <c r="F452">
        <f t="shared" si="84"/>
        <v>104</v>
      </c>
      <c r="G452">
        <f t="shared" si="85"/>
        <v>-8</v>
      </c>
      <c r="H452">
        <f t="shared" si="80"/>
        <v>109</v>
      </c>
      <c r="I452" t="str">
        <f t="shared" si="81"/>
        <v>BOL Platz 6 Rang 2</v>
      </c>
      <c r="J452" t="s">
        <v>5</v>
      </c>
      <c r="K452">
        <f t="shared" si="82"/>
        <v>6</v>
      </c>
      <c r="L452">
        <v>2</v>
      </c>
      <c r="M452">
        <f>VLOOKUP(H452+2,HVW!U$174:V$342,2,FALSE)</f>
        <v>148</v>
      </c>
      <c r="N452" t="str" cm="1">
        <f t="array" ref="N452">INDEX(HVW!E$174:E$968,M452)</f>
        <v>SG Argental 2</v>
      </c>
    </row>
    <row r="453" spans="2:14" x14ac:dyDescent="0.35">
      <c r="B453">
        <f t="shared" si="79"/>
        <v>110</v>
      </c>
      <c r="C453">
        <f t="shared" si="83"/>
        <v>115</v>
      </c>
      <c r="D453" t="str" cm="1">
        <f t="array" ref="D453">IF(C453=0,INDEX(D$312:D$400,B$339+1-B453),INDEX(I$344:I$1016,C453))</f>
        <v>BOL Platz 6 Rang 8</v>
      </c>
      <c r="E453" t="str" cm="1">
        <f t="array" ref="E453">IF(C453=0,INDEX(E$312:E$416,B$339+1-B453),INDEX(N$344:N$1016,C453))</f>
        <v>HSG Bargau/Bettringen 2</v>
      </c>
      <c r="F453">
        <f t="shared" si="84"/>
        <v>105</v>
      </c>
      <c r="G453">
        <f t="shared" si="85"/>
        <v>-8</v>
      </c>
      <c r="H453">
        <f t="shared" si="80"/>
        <v>110</v>
      </c>
      <c r="I453" t="str">
        <f t="shared" si="81"/>
        <v>BOL Platz 6 Rang 3</v>
      </c>
      <c r="J453" t="s">
        <v>5</v>
      </c>
      <c r="K453">
        <f t="shared" si="82"/>
        <v>6</v>
      </c>
      <c r="L453">
        <v>3</v>
      </c>
      <c r="M453">
        <f>VLOOKUP(H453+2,HVW!U$174:V$342,2,FALSE)</f>
        <v>139</v>
      </c>
      <c r="N453" t="str" cm="1">
        <f t="array" ref="N453">INDEX(HVW!E$174:E$968,M453)</f>
        <v>HSG Rietheim-Weilheim</v>
      </c>
    </row>
    <row r="454" spans="2:14" x14ac:dyDescent="0.35">
      <c r="B454">
        <f t="shared" si="79"/>
        <v>111</v>
      </c>
      <c r="C454">
        <f t="shared" si="83"/>
        <v>116</v>
      </c>
      <c r="D454" t="str" cm="1">
        <f t="array" ref="D454">IF(C454=0,INDEX(D$312:D$400,B$339+1-B454),INDEX(I$344:I$1016,C454))</f>
        <v>BOL Platz 7 Rang 1</v>
      </c>
      <c r="E454" t="str" cm="1">
        <f t="array" ref="E454">IF(C454=0,INDEX(E$312:E$416,B$339+1-B454),INDEX(N$344:N$1016,C454))</f>
        <v>TSV Köngen 2</v>
      </c>
      <c r="F454">
        <f t="shared" si="84"/>
        <v>106</v>
      </c>
      <c r="G454">
        <f t="shared" si="85"/>
        <v>-8</v>
      </c>
      <c r="H454">
        <f t="shared" si="80"/>
        <v>111</v>
      </c>
      <c r="I454" t="str">
        <f t="shared" si="81"/>
        <v>BOL Platz 6 Rang 4</v>
      </c>
      <c r="J454" t="s">
        <v>5</v>
      </c>
      <c r="K454">
        <f t="shared" si="82"/>
        <v>6</v>
      </c>
      <c r="L454">
        <v>4</v>
      </c>
      <c r="M454">
        <f>VLOOKUP(H454+2,HVW!U$174:V$342,2,FALSE)</f>
        <v>129</v>
      </c>
      <c r="N454" t="str" cm="1">
        <f t="array" ref="N454">INDEX(HVW!E$174:E$968,M454)</f>
        <v>SG AmmerGäu</v>
      </c>
    </row>
    <row r="455" spans="2:14" x14ac:dyDescent="0.35">
      <c r="B455">
        <f t="shared" si="79"/>
        <v>112</v>
      </c>
      <c r="C455">
        <f t="shared" si="83"/>
        <v>117</v>
      </c>
      <c r="D455" t="str" cm="1">
        <f t="array" ref="D455">IF(C455=0,INDEX(D$312:D$400,B$339+1-B455),INDEX(I$344:I$1016,C455))</f>
        <v>BOL Platz 7 Rang 2</v>
      </c>
      <c r="E455" t="str" cm="1">
        <f t="array" ref="E455">IF(C455=0,INDEX(E$312:E$416,B$339+1-B455),INDEX(N$344:N$1016,C455))</f>
        <v>TV Aldingen</v>
      </c>
      <c r="F455">
        <f t="shared" si="84"/>
        <v>107</v>
      </c>
      <c r="G455">
        <f t="shared" si="85"/>
        <v>-8</v>
      </c>
      <c r="H455">
        <f t="shared" si="80"/>
        <v>112</v>
      </c>
      <c r="I455" t="str">
        <f t="shared" si="81"/>
        <v>BOL Platz 6 Rang 5</v>
      </c>
      <c r="J455" t="s">
        <v>5</v>
      </c>
      <c r="K455">
        <f t="shared" si="82"/>
        <v>6</v>
      </c>
      <c r="L455">
        <v>5</v>
      </c>
      <c r="M455">
        <f>VLOOKUP(H455+2,HVW!U$174:V$342,2,FALSE)</f>
        <v>78</v>
      </c>
      <c r="N455" t="str" cm="1">
        <f t="array" ref="N455">INDEX(HVW!E$174:E$968,M455)</f>
        <v>Sport-Union Neckarsulm 3</v>
      </c>
    </row>
    <row r="456" spans="2:14" x14ac:dyDescent="0.35">
      <c r="B456">
        <f t="shared" si="79"/>
        <v>113</v>
      </c>
      <c r="C456">
        <f t="shared" si="83"/>
        <v>118</v>
      </c>
      <c r="D456" t="str" cm="1">
        <f t="array" ref="D456">IF(C456=0,INDEX(D$312:D$400,B$339+1-B456),INDEX(I$344:I$1016,C456))</f>
        <v>BOL Platz 7 Rang 3</v>
      </c>
      <c r="E456" t="str" cm="1">
        <f t="array" ref="E456">IF(C456=0,INDEX(E$312:E$416,B$339+1-B456),INDEX(N$344:N$1016,C456))</f>
        <v>SV Remshalden</v>
      </c>
      <c r="F456">
        <f t="shared" si="84"/>
        <v>108</v>
      </c>
      <c r="G456">
        <f t="shared" si="85"/>
        <v>-8</v>
      </c>
      <c r="H456">
        <f t="shared" si="80"/>
        <v>113</v>
      </c>
      <c r="I456" t="str">
        <f t="shared" si="81"/>
        <v>BOL Platz 6 Rang 6</v>
      </c>
      <c r="J456" t="s">
        <v>5</v>
      </c>
      <c r="K456">
        <f t="shared" si="82"/>
        <v>6</v>
      </c>
      <c r="L456">
        <v>6</v>
      </c>
      <c r="M456">
        <f>VLOOKUP(H456+2,HVW!U$174:V$342,2,FALSE)</f>
        <v>87</v>
      </c>
      <c r="N456" t="str" cm="1">
        <f t="array" ref="N456">INDEX(HVW!E$174:E$968,M456)</f>
        <v>HC Metter-Enz</v>
      </c>
    </row>
    <row r="457" spans="2:14" x14ac:dyDescent="0.35">
      <c r="B457">
        <f t="shared" si="79"/>
        <v>114</v>
      </c>
      <c r="C457">
        <f t="shared" si="83"/>
        <v>119</v>
      </c>
      <c r="D457" t="str" cm="1">
        <f t="array" ref="D457">IF(C457=0,INDEX(D$312:D$400,B$339+1-B457),INDEX(I$344:I$1016,C457))</f>
        <v>BOL Platz 7 Rang 4</v>
      </c>
      <c r="E457" t="str" cm="1">
        <f t="array" ref="E457">IF(C457=0,INDEX(E$312:E$416,B$339+1-B457),INDEX(N$344:N$1016,C457))</f>
        <v>TV Weilstetten 2</v>
      </c>
      <c r="F457">
        <f t="shared" si="84"/>
        <v>109</v>
      </c>
      <c r="G457">
        <f t="shared" si="85"/>
        <v>-8</v>
      </c>
      <c r="H457">
        <f t="shared" si="80"/>
        <v>114</v>
      </c>
      <c r="I457" t="str">
        <f t="shared" si="81"/>
        <v>BOL Platz 6 Rang 7</v>
      </c>
      <c r="J457" t="s">
        <v>5</v>
      </c>
      <c r="K457">
        <f t="shared" si="82"/>
        <v>6</v>
      </c>
      <c r="L457">
        <v>7</v>
      </c>
      <c r="M457">
        <f>VLOOKUP(H457+2,HVW!U$174:V$342,2,FALSE)</f>
        <v>97</v>
      </c>
      <c r="N457" t="str" cm="1">
        <f t="array" ref="N457">INDEX(HVW!E$174:E$968,M457)</f>
        <v>HSG Oberer Neckar</v>
      </c>
    </row>
    <row r="458" spans="2:14" x14ac:dyDescent="0.35">
      <c r="B458">
        <f t="shared" si="79"/>
        <v>115</v>
      </c>
      <c r="C458">
        <f t="shared" si="83"/>
        <v>120</v>
      </c>
      <c r="D458" t="str" cm="1">
        <f t="array" ref="D458">IF(C458=0,INDEX(D$312:D$400,B$339+1-B458),INDEX(I$344:I$1016,C458))</f>
        <v>BOL Platz 7 Rang 5</v>
      </c>
      <c r="E458" t="str" cm="1">
        <f t="array" ref="E458">IF(C458=0,INDEX(E$312:E$416,B$339+1-B458),INDEX(N$344:N$1016,C458))</f>
        <v>TSF Ludwigsfeld</v>
      </c>
      <c r="F458">
        <f t="shared" si="84"/>
        <v>110</v>
      </c>
      <c r="G458">
        <f t="shared" si="85"/>
        <v>-8</v>
      </c>
      <c r="H458">
        <f t="shared" si="80"/>
        <v>115</v>
      </c>
      <c r="I458" t="str">
        <f t="shared" si="81"/>
        <v>BOL Platz 6 Rang 8</v>
      </c>
      <c r="J458" t="s">
        <v>5</v>
      </c>
      <c r="K458">
        <f t="shared" si="82"/>
        <v>6</v>
      </c>
      <c r="L458">
        <v>8</v>
      </c>
      <c r="M458">
        <f>VLOOKUP(H458+2,HVW!U$174:V$342,2,FALSE)</f>
        <v>119</v>
      </c>
      <c r="N458" t="str" cm="1">
        <f t="array" ref="N458">INDEX(HVW!E$174:E$968,M458)</f>
        <v>HSG Bargau/Bettringen 2</v>
      </c>
    </row>
    <row r="459" spans="2:14" x14ac:dyDescent="0.35">
      <c r="B459">
        <f t="shared" si="79"/>
        <v>116</v>
      </c>
      <c r="C459">
        <f t="shared" si="83"/>
        <v>121</v>
      </c>
      <c r="D459" t="str" cm="1">
        <f t="array" ref="D459">IF(C459=0,INDEX(D$312:D$400,B$339+1-B459),INDEX(I$344:I$1016,C459))</f>
        <v>BOL Platz 7 Rang 6</v>
      </c>
      <c r="E459" t="str" cm="1">
        <f t="array" ref="E459">IF(C459=0,INDEX(E$312:E$416,B$339+1-B459),INDEX(N$344:N$1016,C459))</f>
        <v>TSV 1866 Weinsberg</v>
      </c>
      <c r="F459">
        <f t="shared" si="84"/>
        <v>111</v>
      </c>
      <c r="G459">
        <f t="shared" si="85"/>
        <v>-8</v>
      </c>
      <c r="H459">
        <f t="shared" si="80"/>
        <v>116</v>
      </c>
      <c r="I459" t="str">
        <f t="shared" si="81"/>
        <v>BOL Platz 7 Rang 1</v>
      </c>
      <c r="J459" t="s">
        <v>5</v>
      </c>
      <c r="K459">
        <f t="shared" si="82"/>
        <v>7</v>
      </c>
      <c r="L459">
        <v>1</v>
      </c>
      <c r="M459">
        <f>VLOOKUP(H459+2,HVW!U$174:V$342,2,FALSE)</f>
        <v>108</v>
      </c>
      <c r="N459" t="str" cm="1">
        <f t="array" ref="N459">INDEX(HVW!E$174:E$968,M459)</f>
        <v>TSV Köngen 2</v>
      </c>
    </row>
    <row r="460" spans="2:14" x14ac:dyDescent="0.35">
      <c r="B460">
        <f t="shared" si="79"/>
        <v>117</v>
      </c>
      <c r="C460">
        <f t="shared" si="83"/>
        <v>122</v>
      </c>
      <c r="D460" t="str" cm="1">
        <f t="array" ref="D460">IF(C460=0,INDEX(D$312:D$400,B$339+1-B460),INDEX(I$344:I$1016,C460))</f>
        <v>BOL Platz 7 Rang 7</v>
      </c>
      <c r="E460" t="str" cm="1">
        <f t="array" ref="E460">IF(C460=0,INDEX(E$312:E$416,B$339+1-B460),INDEX(N$344:N$1016,C460))</f>
        <v>SKV Rutesheim</v>
      </c>
      <c r="F460">
        <f t="shared" si="84"/>
        <v>112</v>
      </c>
      <c r="G460">
        <f t="shared" si="85"/>
        <v>-8</v>
      </c>
      <c r="H460">
        <f t="shared" si="80"/>
        <v>117</v>
      </c>
      <c r="I460" t="str">
        <f t="shared" si="81"/>
        <v>BOL Platz 7 Rang 2</v>
      </c>
      <c r="J460" t="s">
        <v>5</v>
      </c>
      <c r="K460">
        <f t="shared" si="82"/>
        <v>7</v>
      </c>
      <c r="L460">
        <v>2</v>
      </c>
      <c r="M460">
        <f>VLOOKUP(H460+2,HVW!U$174:V$342,2,FALSE)</f>
        <v>88</v>
      </c>
      <c r="N460" t="str" cm="1">
        <f t="array" ref="N460">INDEX(HVW!E$174:E$968,M460)</f>
        <v>TV Aldingen</v>
      </c>
    </row>
    <row r="461" spans="2:14" x14ac:dyDescent="0.35">
      <c r="B461">
        <f t="shared" si="79"/>
        <v>118</v>
      </c>
      <c r="C461">
        <f t="shared" si="83"/>
        <v>123</v>
      </c>
      <c r="D461" t="str" cm="1">
        <f t="array" ref="D461">IF(C461=0,INDEX(D$312:D$400,B$339+1-B461),INDEX(I$344:I$1016,C461))</f>
        <v>BOL Platz 7 Rang 8</v>
      </c>
      <c r="E461" t="str" cm="1">
        <f t="array" ref="E461">IF(C461=0,INDEX(E$312:E$416,B$339+1-B461),INDEX(N$344:N$1016,C461))</f>
        <v>TSG Eislingen</v>
      </c>
      <c r="F461">
        <f t="shared" si="84"/>
        <v>113</v>
      </c>
      <c r="G461">
        <f t="shared" si="85"/>
        <v>-8</v>
      </c>
      <c r="H461">
        <f t="shared" si="80"/>
        <v>118</v>
      </c>
      <c r="I461" t="str">
        <f t="shared" si="81"/>
        <v>BOL Platz 7 Rang 3</v>
      </c>
      <c r="J461" t="s">
        <v>5</v>
      </c>
      <c r="K461">
        <f t="shared" si="82"/>
        <v>7</v>
      </c>
      <c r="L461">
        <v>3</v>
      </c>
      <c r="M461">
        <f>VLOOKUP(H461+2,HVW!U$174:V$342,2,FALSE)</f>
        <v>98</v>
      </c>
      <c r="N461" t="str" cm="1">
        <f t="array" ref="N461">INDEX(HVW!E$174:E$968,M461)</f>
        <v>SV Remshalden</v>
      </c>
    </row>
    <row r="462" spans="2:14" x14ac:dyDescent="0.35">
      <c r="B462">
        <f t="shared" si="79"/>
        <v>119</v>
      </c>
      <c r="C462">
        <f t="shared" si="83"/>
        <v>124</v>
      </c>
      <c r="D462" t="str" cm="1">
        <f t="array" ref="D462">IF(C462=0,INDEX(D$312:D$400,B$339+1-B462),INDEX(I$344:I$1016,C462))</f>
        <v>BOL Platz 8 Rang 1</v>
      </c>
      <c r="E462" t="str" cm="1">
        <f t="array" ref="E462">IF(C462=0,INDEX(E$312:E$416,B$339+1-B462),INDEX(N$344:N$1016,C462))</f>
        <v>TSV Alfdorf/Lorch/Waldhausen 2</v>
      </c>
      <c r="F462">
        <f t="shared" si="84"/>
        <v>114</v>
      </c>
      <c r="G462">
        <f t="shared" si="85"/>
        <v>-8</v>
      </c>
      <c r="H462">
        <f t="shared" si="80"/>
        <v>119</v>
      </c>
      <c r="I462" t="str">
        <f t="shared" si="81"/>
        <v>BOL Platz 7 Rang 4</v>
      </c>
      <c r="J462" t="s">
        <v>5</v>
      </c>
      <c r="K462">
        <f t="shared" si="82"/>
        <v>7</v>
      </c>
      <c r="L462">
        <v>4</v>
      </c>
      <c r="M462">
        <f>VLOOKUP(H462+2,HVW!U$174:V$342,2,FALSE)</f>
        <v>140</v>
      </c>
      <c r="N462" t="str" cm="1">
        <f t="array" ref="N462">INDEX(HVW!E$174:E$968,M462)</f>
        <v>TV Weilstetten 2</v>
      </c>
    </row>
    <row r="463" spans="2:14" x14ac:dyDescent="0.35">
      <c r="B463">
        <f t="shared" si="79"/>
        <v>120</v>
      </c>
      <c r="C463" t="e">
        <f t="shared" si="83"/>
        <v>#N/A</v>
      </c>
      <c r="D463" t="e" cm="1">
        <f t="array" ref="D463">IF(C463=0,INDEX(D$312:D$400,B$339+1-B463),INDEX(I$344:I$1016,C463))</f>
        <v>#N/A</v>
      </c>
      <c r="E463" t="e" cm="1">
        <f t="array" ref="E463">IF(C463=0,INDEX(E$312:E$416,B$339+1-B463),INDEX(N$344:N$1016,C463))</f>
        <v>#N/A</v>
      </c>
      <c r="F463">
        <f t="shared" si="84"/>
        <v>115</v>
      </c>
      <c r="G463">
        <f t="shared" si="85"/>
        <v>-8</v>
      </c>
      <c r="H463">
        <f t="shared" si="80"/>
        <v>120</v>
      </c>
      <c r="I463" t="str">
        <f t="shared" si="81"/>
        <v>BOL Platz 7 Rang 5</v>
      </c>
      <c r="J463" t="s">
        <v>5</v>
      </c>
      <c r="K463">
        <f t="shared" si="82"/>
        <v>7</v>
      </c>
      <c r="L463">
        <v>5</v>
      </c>
      <c r="M463">
        <f>VLOOKUP(H463+2,HVW!U$174:V$342,2,FALSE)</f>
        <v>149</v>
      </c>
      <c r="N463" t="str" cm="1">
        <f t="array" ref="N463">INDEX(HVW!E$174:E$968,M463)</f>
        <v>TSF Ludwigsfeld</v>
      </c>
    </row>
    <row r="464" spans="2:14" x14ac:dyDescent="0.35">
      <c r="B464">
        <f t="shared" si="79"/>
        <v>121</v>
      </c>
      <c r="C464" t="e">
        <f t="shared" si="83"/>
        <v>#N/A</v>
      </c>
      <c r="D464" t="e" cm="1">
        <f t="array" ref="D464">IF(C464=0,INDEX(D$312:D$400,B$339+1-B464),INDEX(I$344:I$1016,C464))</f>
        <v>#N/A</v>
      </c>
      <c r="E464" t="e" cm="1">
        <f t="array" ref="E464">IF(C464=0,INDEX(E$312:E$416,B$339+1-B464),INDEX(N$344:N$1016,C464))</f>
        <v>#N/A</v>
      </c>
      <c r="F464">
        <f t="shared" si="84"/>
        <v>116</v>
      </c>
      <c r="G464">
        <f t="shared" si="85"/>
        <v>-8</v>
      </c>
      <c r="H464">
        <f t="shared" si="80"/>
        <v>121</v>
      </c>
      <c r="I464" t="str">
        <f t="shared" si="81"/>
        <v>BOL Platz 7 Rang 6</v>
      </c>
      <c r="J464" t="s">
        <v>5</v>
      </c>
      <c r="K464">
        <f t="shared" si="82"/>
        <v>7</v>
      </c>
      <c r="L464">
        <v>6</v>
      </c>
      <c r="M464">
        <f>VLOOKUP(H464+2,HVW!U$174:V$342,2,FALSE)</f>
        <v>79</v>
      </c>
      <c r="N464" t="str" cm="1">
        <f t="array" ref="N464">INDEX(HVW!E$174:E$968,M464)</f>
        <v>TSV 1866 Weinsberg</v>
      </c>
    </row>
    <row r="465" spans="2:14" x14ac:dyDescent="0.35">
      <c r="B465">
        <f t="shared" si="79"/>
        <v>122</v>
      </c>
      <c r="C465" t="e">
        <f t="shared" si="83"/>
        <v>#N/A</v>
      </c>
      <c r="D465" t="e" cm="1">
        <f t="array" ref="D465">IF(C465=0,INDEX(D$312:D$400,B$339+1-B465),INDEX(I$344:I$1016,C465))</f>
        <v>#N/A</v>
      </c>
      <c r="E465" t="e" cm="1">
        <f t="array" ref="E465">IF(C465=0,INDEX(E$312:E$416,B$339+1-B465),INDEX(N$344:N$1016,C465))</f>
        <v>#N/A</v>
      </c>
      <c r="F465">
        <f t="shared" si="84"/>
        <v>117</v>
      </c>
      <c r="G465">
        <f t="shared" si="85"/>
        <v>-8</v>
      </c>
      <c r="H465">
        <f t="shared" si="80"/>
        <v>122</v>
      </c>
      <c r="I465" t="str">
        <f t="shared" si="81"/>
        <v>BOL Platz 7 Rang 7</v>
      </c>
      <c r="J465" t="s">
        <v>5</v>
      </c>
      <c r="K465">
        <f t="shared" si="82"/>
        <v>7</v>
      </c>
      <c r="L465">
        <v>7</v>
      </c>
      <c r="M465">
        <f>VLOOKUP(H465+2,HVW!U$174:V$342,2,FALSE)</f>
        <v>130</v>
      </c>
      <c r="N465" t="str" cm="1">
        <f t="array" ref="N465">INDEX(HVW!E$174:E$968,M465)</f>
        <v>SKV Rutesheim</v>
      </c>
    </row>
    <row r="466" spans="2:14" x14ac:dyDescent="0.35">
      <c r="B466">
        <f t="shared" si="79"/>
        <v>123</v>
      </c>
      <c r="C466" t="e">
        <f t="shared" si="83"/>
        <v>#N/A</v>
      </c>
      <c r="D466" t="e" cm="1">
        <f t="array" ref="D466">IF(C466=0,INDEX(D$312:D$400,B$339+1-B466),INDEX(I$344:I$1016,C466))</f>
        <v>#N/A</v>
      </c>
      <c r="E466" t="e" cm="1">
        <f t="array" ref="E466">IF(C466=0,INDEX(E$312:E$416,B$339+1-B466),INDEX(N$344:N$1016,C466))</f>
        <v>#N/A</v>
      </c>
      <c r="F466">
        <f t="shared" si="84"/>
        <v>118</v>
      </c>
      <c r="G466">
        <f t="shared" si="85"/>
        <v>-8</v>
      </c>
      <c r="H466">
        <f t="shared" si="80"/>
        <v>123</v>
      </c>
      <c r="I466" t="str">
        <f t="shared" si="81"/>
        <v>BOL Platz 7 Rang 8</v>
      </c>
      <c r="J466" t="s">
        <v>5</v>
      </c>
      <c r="K466">
        <f t="shared" si="82"/>
        <v>7</v>
      </c>
      <c r="L466">
        <v>8</v>
      </c>
      <c r="M466">
        <f>VLOOKUP(H466+2,HVW!U$174:V$342,2,FALSE)</f>
        <v>120</v>
      </c>
      <c r="N466" t="str" cm="1">
        <f t="array" ref="N466">INDEX(HVW!E$174:E$968,M466)</f>
        <v>TSG Eislingen</v>
      </c>
    </row>
    <row r="467" spans="2:14" x14ac:dyDescent="0.35">
      <c r="B467">
        <f t="shared" si="79"/>
        <v>124</v>
      </c>
      <c r="C467" t="e">
        <f t="shared" si="83"/>
        <v>#N/A</v>
      </c>
      <c r="D467" t="e" cm="1">
        <f t="array" ref="D467">IF(C467=0,INDEX(D$312:D$400,B$339+1-B467),INDEX(I$344:I$1016,C467))</f>
        <v>#N/A</v>
      </c>
      <c r="E467" t="e" cm="1">
        <f t="array" ref="E467">IF(C467=0,INDEX(E$312:E$416,B$339+1-B467),INDEX(N$344:N$1016,C467))</f>
        <v>#N/A</v>
      </c>
      <c r="F467">
        <f t="shared" si="84"/>
        <v>119</v>
      </c>
      <c r="G467">
        <f t="shared" si="85"/>
        <v>-8</v>
      </c>
      <c r="H467">
        <f t="shared" si="80"/>
        <v>124</v>
      </c>
      <c r="I467" t="str">
        <f t="shared" si="81"/>
        <v>BOL Platz 8 Rang 1</v>
      </c>
      <c r="J467" t="s">
        <v>5</v>
      </c>
      <c r="K467">
        <f t="shared" si="82"/>
        <v>8</v>
      </c>
      <c r="L467">
        <v>1</v>
      </c>
      <c r="M467">
        <f>VLOOKUP(H467+2,HVW!U$174:V$342,2,FALSE)</f>
        <v>99</v>
      </c>
      <c r="N467" t="str" cm="1">
        <f t="array" ref="N467">INDEX(HVW!E$174:E$968,M467)</f>
        <v>TSV Alfdorf/Lorch/Waldhausen 2</v>
      </c>
    </row>
    <row r="470" spans="2:14" x14ac:dyDescent="0.35">
      <c r="B470" s="1" t="s">
        <v>56</v>
      </c>
      <c r="C470" s="1" t="s">
        <v>12</v>
      </c>
      <c r="F470" s="1" t="s">
        <v>6</v>
      </c>
      <c r="G470" s="1" t="s">
        <v>11</v>
      </c>
      <c r="H470" s="1" t="s">
        <v>349</v>
      </c>
      <c r="M470" t="s">
        <v>200</v>
      </c>
      <c r="N470" t="s">
        <v>204</v>
      </c>
    </row>
    <row r="471" spans="2:14" x14ac:dyDescent="0.35">
      <c r="B471">
        <v>1</v>
      </c>
      <c r="C471">
        <f t="shared" ref="C471:C514" si="86">IF(B471&lt;=B$340,0,VLOOKUP(B471,$F$471:$H$521,3,FALSE))</f>
        <v>0</v>
      </c>
      <c r="D471" t="str" cm="1">
        <f t="array" ref="D471">IF(C471=0,INDEX(D$320:D$400,B$340+1-B471),INDEX(I$471:I$1002,C471))</f>
        <v>Absteiger RL 1</v>
      </c>
      <c r="E471" t="str" cm="1">
        <f t="array" ref="E471">IF(C471=0,INDEX(E$320:E$400,B$340+1-B471),INDEX(N$471:N$1002,C471))</f>
        <v>TG 88 Pforzheim</v>
      </c>
      <c r="F471">
        <f t="shared" ref="F471:F514" si="87">H471+G471+B$340</f>
        <v>2</v>
      </c>
      <c r="G471">
        <v>0</v>
      </c>
      <c r="H471">
        <v>1</v>
      </c>
      <c r="I471" t="str">
        <f>J471&amp;" Platz "&amp;K471</f>
        <v>OL Platz 2</v>
      </c>
      <c r="J471" t="s">
        <v>197</v>
      </c>
      <c r="K471">
        <v>2</v>
      </c>
      <c r="M471">
        <f>VLOOKUP(H471+1,BHV!U$58:V$110,2,FALSE)</f>
        <v>2</v>
      </c>
      <c r="N471" t="str" cm="1">
        <f t="array" ref="N471">INDEX(BHV!E$58:E$952,M471)</f>
        <v>HSG Walzbachtal</v>
      </c>
    </row>
    <row r="472" spans="2:14" x14ac:dyDescent="0.35">
      <c r="B472">
        <f>1+B471</f>
        <v>2</v>
      </c>
      <c r="C472">
        <f t="shared" si="86"/>
        <v>1</v>
      </c>
      <c r="D472" t="str" cm="1">
        <f t="array" ref="D472">IF(C472=0,INDEX(D$320:D$400,B$340+1-B472),INDEX(I$471:I$1002,C472))</f>
        <v>OL Platz 2</v>
      </c>
      <c r="E472" t="str" cm="1">
        <f t="array" ref="E472">IF(C472=0,INDEX(E$320:E$400,B$340+1-B472),INDEX(N$471:N$1002,C472))</f>
        <v>HSG Walzbachtal</v>
      </c>
      <c r="F472">
        <f t="shared" si="87"/>
        <v>3</v>
      </c>
      <c r="G472">
        <v>0</v>
      </c>
      <c r="H472">
        <f>1+H471</f>
        <v>2</v>
      </c>
      <c r="I472" t="str">
        <f>J472&amp;" Platz "&amp;K472</f>
        <v>OL Platz 3</v>
      </c>
      <c r="J472" t="s">
        <v>197</v>
      </c>
      <c r="K472">
        <v>3</v>
      </c>
      <c r="M472">
        <f>VLOOKUP(H472+1,BHV!U$58:V$110,2,FALSE)</f>
        <v>3</v>
      </c>
      <c r="N472" t="str" cm="1">
        <f t="array" ref="N472">INDEX(BHV!E$58:E$952,M472)</f>
        <v>TSV Birkenau</v>
      </c>
    </row>
    <row r="473" spans="2:14" x14ac:dyDescent="0.35">
      <c r="B473">
        <f t="shared" ref="B473:B479" si="88">1+B472</f>
        <v>3</v>
      </c>
      <c r="C473">
        <f t="shared" si="86"/>
        <v>2</v>
      </c>
      <c r="D473" t="str" cm="1">
        <f t="array" ref="D473">IF(C473=0,INDEX(D$320:D$400,B$340+1-B473),INDEX(I$471:I$1002,C473))</f>
        <v>OL Platz 3</v>
      </c>
      <c r="E473" t="str" cm="1">
        <f t="array" ref="E473">IF(C473=0,INDEX(E$320:E$400,B$340+1-B473),INDEX(N$471:N$1002,C473))</f>
        <v>TSV Birkenau</v>
      </c>
      <c r="F473">
        <f t="shared" si="87"/>
        <v>4</v>
      </c>
      <c r="G473">
        <v>0</v>
      </c>
      <c r="H473">
        <f t="shared" ref="H473:H479" si="89">1+H472</f>
        <v>3</v>
      </c>
      <c r="I473" t="str">
        <f t="shared" ref="I473:I479" si="90">J473&amp;" Platz "&amp;K473</f>
        <v>OL Platz 4</v>
      </c>
      <c r="J473" t="s">
        <v>197</v>
      </c>
      <c r="K473">
        <v>4</v>
      </c>
      <c r="M473">
        <f>VLOOKUP(H473+1,BHV!U$58:V$110,2,FALSE)</f>
        <v>4</v>
      </c>
      <c r="N473" t="str" cm="1">
        <f t="array" ref="N473">INDEX(BHV!E$58:E$952,M473)</f>
        <v>SG Heddesheim</v>
      </c>
    </row>
    <row r="474" spans="2:14" x14ac:dyDescent="0.35">
      <c r="B474">
        <f t="shared" si="88"/>
        <v>4</v>
      </c>
      <c r="C474">
        <f t="shared" si="86"/>
        <v>3</v>
      </c>
      <c r="D474" t="str" cm="1">
        <f t="array" ref="D474">IF(C474=0,INDEX(D$320:D$400,B$340+1-B474),INDEX(I$471:I$1002,C474))</f>
        <v>OL Platz 4</v>
      </c>
      <c r="E474" t="str" cm="1">
        <f t="array" ref="E474">IF(C474=0,INDEX(E$320:E$400,B$340+1-B474),INDEX(N$471:N$1002,C474))</f>
        <v>SG Heddesheim</v>
      </c>
      <c r="F474">
        <f t="shared" si="87"/>
        <v>5</v>
      </c>
      <c r="G474">
        <v>0</v>
      </c>
      <c r="H474">
        <f t="shared" si="89"/>
        <v>4</v>
      </c>
      <c r="I474" t="str">
        <f t="shared" si="90"/>
        <v>OL Platz 5</v>
      </c>
      <c r="J474" t="s">
        <v>197</v>
      </c>
      <c r="K474">
        <v>5</v>
      </c>
      <c r="M474">
        <f>VLOOKUP(H474+1,BHV!U$58:V$110,2,FALSE)</f>
        <v>5</v>
      </c>
      <c r="N474" t="str" cm="1">
        <f t="array" ref="N474">INDEX(BHV!E$58:E$952,M474)</f>
        <v>TSV Rot-Malsch</v>
      </c>
    </row>
    <row r="475" spans="2:14" x14ac:dyDescent="0.35">
      <c r="B475">
        <f t="shared" si="88"/>
        <v>5</v>
      </c>
      <c r="C475">
        <f t="shared" si="86"/>
        <v>4</v>
      </c>
      <c r="D475" t="str" cm="1">
        <f t="array" ref="D475">IF(C475=0,INDEX(D$320:D$400,B$340+1-B475),INDEX(I$471:I$1002,C475))</f>
        <v>OL Platz 5</v>
      </c>
      <c r="E475" t="str" cm="1">
        <f t="array" ref="E475">IF(C475=0,INDEX(E$320:E$400,B$340+1-B475),INDEX(N$471:N$1002,C475))</f>
        <v>TSV Rot-Malsch</v>
      </c>
      <c r="F475">
        <f t="shared" si="87"/>
        <v>6</v>
      </c>
      <c r="G475">
        <v>0</v>
      </c>
      <c r="H475">
        <f t="shared" si="89"/>
        <v>5</v>
      </c>
      <c r="I475" t="str">
        <f t="shared" si="90"/>
        <v>OL Platz 6</v>
      </c>
      <c r="J475" t="s">
        <v>197</v>
      </c>
      <c r="K475">
        <v>6</v>
      </c>
      <c r="M475">
        <f>VLOOKUP(H475+1,BHV!U$58:V$110,2,FALSE)</f>
        <v>6</v>
      </c>
      <c r="N475" t="str" cm="1">
        <f t="array" ref="N475">INDEX(BHV!E$58:E$952,M475)</f>
        <v>TSG Wiesloch</v>
      </c>
    </row>
    <row r="476" spans="2:14" x14ac:dyDescent="0.35">
      <c r="B476">
        <f t="shared" si="88"/>
        <v>6</v>
      </c>
      <c r="C476">
        <f t="shared" si="86"/>
        <v>5</v>
      </c>
      <c r="D476" t="str" cm="1">
        <f t="array" ref="D476">IF(C476=0,INDEX(D$320:D$400,B$340+1-B476),INDEX(I$471:I$1002,C476))</f>
        <v>OL Platz 6</v>
      </c>
      <c r="E476" t="str" cm="1">
        <f t="array" ref="E476">IF(C476=0,INDEX(E$320:E$400,B$340+1-B476),INDEX(N$471:N$1002,C476))</f>
        <v>TSG Wiesloch</v>
      </c>
      <c r="F476">
        <f t="shared" si="87"/>
        <v>7</v>
      </c>
      <c r="G476">
        <v>0</v>
      </c>
      <c r="H476">
        <f t="shared" si="89"/>
        <v>6</v>
      </c>
      <c r="I476" t="str">
        <f t="shared" si="90"/>
        <v>OL Platz 7</v>
      </c>
      <c r="J476" t="s">
        <v>197</v>
      </c>
      <c r="K476">
        <v>7</v>
      </c>
      <c r="M476">
        <f>VLOOKUP(H476+1,BHV!U$58:V$110,2,FALSE)</f>
        <v>7</v>
      </c>
      <c r="N476" t="str" cm="1">
        <f t="array" ref="N476">INDEX(BHV!E$58:E$952,M476)</f>
        <v>TV Edingen</v>
      </c>
    </row>
    <row r="477" spans="2:14" x14ac:dyDescent="0.35">
      <c r="B477">
        <f t="shared" si="88"/>
        <v>7</v>
      </c>
      <c r="C477">
        <f t="shared" si="86"/>
        <v>6</v>
      </c>
      <c r="D477" t="str" cm="1">
        <f t="array" ref="D477">IF(C477=0,INDEX(D$320:D$400,B$340+1-B477),INDEX(I$471:I$1002,C477))</f>
        <v>OL Platz 7</v>
      </c>
      <c r="E477" t="str" cm="1">
        <f t="array" ref="E477">IF(C477=0,INDEX(E$320:E$400,B$340+1-B477),INDEX(N$471:N$1002,C477))</f>
        <v>TV Edingen</v>
      </c>
      <c r="F477">
        <f t="shared" si="87"/>
        <v>8</v>
      </c>
      <c r="G477">
        <v>0</v>
      </c>
      <c r="H477">
        <f t="shared" si="89"/>
        <v>7</v>
      </c>
      <c r="I477" t="str">
        <f t="shared" si="90"/>
        <v>OL Platz 8</v>
      </c>
      <c r="J477" t="s">
        <v>197</v>
      </c>
      <c r="K477">
        <v>8</v>
      </c>
      <c r="M477">
        <f>VLOOKUP(H477+1,BHV!U$58:V$110,2,FALSE)</f>
        <v>8</v>
      </c>
      <c r="N477" t="str" cm="1">
        <f t="array" ref="N477">INDEX(BHV!E$58:E$952,M477)</f>
        <v>SG Heidelsheim/Helmsheim</v>
      </c>
    </row>
    <row r="478" spans="2:14" x14ac:dyDescent="0.35">
      <c r="B478">
        <f t="shared" si="88"/>
        <v>8</v>
      </c>
      <c r="C478">
        <f t="shared" si="86"/>
        <v>7</v>
      </c>
      <c r="D478" t="str" cm="1">
        <f t="array" ref="D478">IF(C478=0,INDEX(D$320:D$400,B$340+1-B478),INDEX(I$471:I$1002,C478))</f>
        <v>OL Platz 8</v>
      </c>
      <c r="E478" t="str" cm="1">
        <f t="array" ref="E478">IF(C478=0,INDEX(E$320:E$400,B$340+1-B478),INDEX(N$471:N$1002,C478))</f>
        <v>SG Heidelsheim/Helmsheim</v>
      </c>
      <c r="F478">
        <f t="shared" si="87"/>
        <v>9</v>
      </c>
      <c r="G478">
        <v>0</v>
      </c>
      <c r="H478">
        <f t="shared" si="89"/>
        <v>8</v>
      </c>
      <c r="I478" t="str">
        <f t="shared" si="90"/>
        <v>OL Platz 9</v>
      </c>
      <c r="J478" t="s">
        <v>197</v>
      </c>
      <c r="K478">
        <v>9</v>
      </c>
      <c r="M478">
        <f>VLOOKUP(H478+1,BHV!U$58:V$110,2,FALSE)</f>
        <v>9</v>
      </c>
      <c r="N478" t="str" cm="1">
        <f t="array" ref="N478">INDEX(BHV!E$58:E$952,M478)</f>
        <v>TV Brühl</v>
      </c>
    </row>
    <row r="479" spans="2:14" x14ac:dyDescent="0.35">
      <c r="B479">
        <f t="shared" si="88"/>
        <v>9</v>
      </c>
      <c r="C479">
        <f t="shared" si="86"/>
        <v>8</v>
      </c>
      <c r="D479" t="str" cm="1">
        <f t="array" ref="D479">IF(C479=0,INDEX(D$320:D$400,B$340+1-B479),INDEX(I$471:I$1002,C479))</f>
        <v>OL Platz 9</v>
      </c>
      <c r="E479" t="str" cm="1">
        <f t="array" ref="E479">IF(C479=0,INDEX(E$320:E$400,B$340+1-B479),INDEX(N$471:N$1002,C479))</f>
        <v>TV Brühl</v>
      </c>
      <c r="F479">
        <f t="shared" si="87"/>
        <v>10</v>
      </c>
      <c r="G479">
        <v>0</v>
      </c>
      <c r="H479">
        <f t="shared" si="89"/>
        <v>9</v>
      </c>
      <c r="I479" t="str">
        <f t="shared" si="90"/>
        <v>OL Platz 10</v>
      </c>
      <c r="J479" t="s">
        <v>197</v>
      </c>
      <c r="K479">
        <v>10</v>
      </c>
      <c r="M479">
        <f>VLOOKUP(H479+1,BHV!U$58:V$110,2,FALSE)</f>
        <v>10</v>
      </c>
      <c r="N479" t="str" cm="1">
        <f t="array" ref="N479">INDEX(BHV!E$58:E$952,M479)</f>
        <v>HSG TSG Weinheim-TV Oberflockenbach</v>
      </c>
    </row>
    <row r="480" spans="2:14" x14ac:dyDescent="0.35">
      <c r="B480">
        <f>1+B479</f>
        <v>10</v>
      </c>
      <c r="C480">
        <f t="shared" si="86"/>
        <v>9</v>
      </c>
      <c r="D480" t="str" cm="1">
        <f t="array" ref="D480">IF(C480=0,INDEX(D$320:D$400,B$340+1-B480),INDEX(I$471:I$1002,C480))</f>
        <v>OL Platz 10</v>
      </c>
      <c r="E480" t="str" cm="1">
        <f t="array" ref="E480">IF(C480=0,INDEX(E$320:E$400,B$340+1-B480),INDEX(N$471:N$1002,C480))</f>
        <v>HSG TSG Weinheim-TV Oberflockenbach</v>
      </c>
      <c r="F480">
        <f t="shared" si="87"/>
        <v>13</v>
      </c>
      <c r="G480">
        <f>IF(B$340=0,0,3-B$340)</f>
        <v>2</v>
      </c>
      <c r="H480">
        <f>1+H479</f>
        <v>10</v>
      </c>
      <c r="I480" t="str">
        <f>J480&amp;" Platz "&amp;K480</f>
        <v>OL Platz 11</v>
      </c>
      <c r="J480" t="s">
        <v>197</v>
      </c>
      <c r="K480">
        <v>11</v>
      </c>
      <c r="M480">
        <f>VLOOKUP(H480+1,BHV!U$58:V$110,2,FALSE)</f>
        <v>11</v>
      </c>
      <c r="N480" t="str" cm="1">
        <f t="array" ref="N480">INDEX(BHV!E$58:E$952,M480)</f>
        <v>SG Nußloch</v>
      </c>
    </row>
    <row r="481" spans="2:14" x14ac:dyDescent="0.35">
      <c r="B481">
        <f>1+B480</f>
        <v>11</v>
      </c>
      <c r="C481">
        <f t="shared" si="86"/>
        <v>12</v>
      </c>
      <c r="D481" t="str" cm="1">
        <f t="array" ref="D481">IF(C481=0,INDEX(D$320:D$400,B$340+1-B481),INDEX(I$471:I$1002,C481))</f>
        <v>VL Platz 1</v>
      </c>
      <c r="E481" t="str" cm="1">
        <f t="array" ref="E481">IF(C481=0,INDEX(E$320:E$400,B$340+1-B481),INDEX(N$471:N$1002,C481))</f>
        <v>HC Mannheim-Vogelstang</v>
      </c>
      <c r="F481">
        <f t="shared" si="87"/>
        <v>14</v>
      </c>
      <c r="G481">
        <f>IF(B$340=2,1,2)</f>
        <v>2</v>
      </c>
      <c r="H481">
        <f>1+H480</f>
        <v>11</v>
      </c>
      <c r="I481" t="str">
        <f>J481&amp;" Platz "&amp;K481</f>
        <v>OL Platz 12</v>
      </c>
      <c r="J481" t="s">
        <v>197</v>
      </c>
      <c r="K481">
        <v>12</v>
      </c>
      <c r="M481">
        <f>VLOOKUP(H481+1,BHV!U$58:V$110,2,FALSE)</f>
        <v>12</v>
      </c>
      <c r="N481" t="str" cm="1">
        <f t="array" ref="N481">INDEX(BHV!E$58:E$952,M481)</f>
        <v>KuSG Leimen</v>
      </c>
    </row>
    <row r="482" spans="2:14" x14ac:dyDescent="0.35">
      <c r="B482">
        <f>1+B481</f>
        <v>12</v>
      </c>
      <c r="C482">
        <f t="shared" si="86"/>
        <v>13</v>
      </c>
      <c r="D482" t="str" cm="1">
        <f t="array" ref="D482">IF(C482=0,INDEX(D$320:D$400,B$340+1-B482),INDEX(I$471:I$1002,C482))</f>
        <v>VL Platz 2</v>
      </c>
      <c r="E482" t="str" cm="1">
        <f t="array" ref="E482">IF(C482=0,INDEX(E$320:E$400,B$340+1-B482),INDEX(N$471:N$1002,C482))</f>
        <v>SG KIT/MTV Karlsruhe</v>
      </c>
      <c r="F482">
        <f t="shared" si="87"/>
        <v>11</v>
      </c>
      <c r="G482">
        <f>IF(B$340=0,-1,-2)</f>
        <v>-2</v>
      </c>
      <c r="H482">
        <f>1+H481</f>
        <v>12</v>
      </c>
      <c r="I482" t="str">
        <f>J482&amp;" Platz "&amp;K482</f>
        <v>VL Platz 1</v>
      </c>
      <c r="J482" t="s">
        <v>2</v>
      </c>
      <c r="K482">
        <v>1</v>
      </c>
      <c r="M482">
        <f>VLOOKUP(H482+1,BHV!U$58:V$110,2,FALSE)</f>
        <v>13</v>
      </c>
      <c r="N482" t="str" cm="1">
        <f t="array" ref="N482">INDEX(BHV!E$58:E$952,M482)</f>
        <v>HC Mannheim-Vogelstang</v>
      </c>
    </row>
    <row r="483" spans="2:14" x14ac:dyDescent="0.35">
      <c r="B483">
        <f>1+B482</f>
        <v>13</v>
      </c>
      <c r="C483">
        <f t="shared" si="86"/>
        <v>10</v>
      </c>
      <c r="D483" t="str" cm="1">
        <f t="array" ref="D483">IF(C483=0,INDEX(D$320:D$400,B$340+1-B483),INDEX(I$471:I$1002,C483))</f>
        <v>OL Platz 11</v>
      </c>
      <c r="E483" t="str" cm="1">
        <f t="array" ref="E483">IF(C483=0,INDEX(E$320:E$400,B$340+1-B483),INDEX(N$471:N$1002,C483))</f>
        <v>SG Nußloch</v>
      </c>
      <c r="F483">
        <f t="shared" si="87"/>
        <v>12</v>
      </c>
      <c r="G483">
        <f>IF(B$340=2,0,-1-B$340)</f>
        <v>-2</v>
      </c>
      <c r="H483">
        <f>1+H482</f>
        <v>13</v>
      </c>
      <c r="I483" t="str">
        <f>J483&amp;" Platz "&amp;K483</f>
        <v>VL Platz 2</v>
      </c>
      <c r="J483" t="s">
        <v>2</v>
      </c>
      <c r="K483">
        <v>2</v>
      </c>
      <c r="M483">
        <f>VLOOKUP(H483+1,BHV!U$58:V$110,2,FALSE)</f>
        <v>14</v>
      </c>
      <c r="N483" t="str" cm="1">
        <f t="array" ref="N483">INDEX(BHV!E$58:E$952,M483)</f>
        <v>SG KIT/MTV Karlsruhe</v>
      </c>
    </row>
    <row r="484" spans="2:14" x14ac:dyDescent="0.35">
      <c r="B484">
        <f t="shared" ref="B484:B514" si="91">1+B483</f>
        <v>14</v>
      </c>
      <c r="C484">
        <f t="shared" si="86"/>
        <v>11</v>
      </c>
      <c r="D484" t="str" cm="1">
        <f t="array" ref="D484">IF(C484=0,INDEX(D$320:D$400,B$340+1-B484),INDEX(I$471:I$1002,C484))</f>
        <v>OL Platz 12</v>
      </c>
      <c r="E484" t="str" cm="1">
        <f t="array" ref="E484">IF(C484=0,INDEX(E$320:E$400,B$340+1-B484),INDEX(N$471:N$1002,C484))</f>
        <v>KuSG Leimen</v>
      </c>
      <c r="F484">
        <f t="shared" si="87"/>
        <v>15</v>
      </c>
      <c r="G484">
        <v>0</v>
      </c>
      <c r="H484">
        <f t="shared" ref="H484:H514" si="92">1+H483</f>
        <v>14</v>
      </c>
      <c r="I484" t="str">
        <f t="shared" ref="I484:I492" si="93">J484&amp;" Platz "&amp;K484</f>
        <v>VL Platz 3</v>
      </c>
      <c r="J484" t="s">
        <v>2</v>
      </c>
      <c r="K484">
        <v>3</v>
      </c>
      <c r="M484">
        <f>VLOOKUP(H484+1,BHV!U$58:V$110,2,FALSE)</f>
        <v>15</v>
      </c>
      <c r="N484" t="str" cm="1">
        <f t="array" ref="N484">INDEX(BHV!E$58:E$952,M484)</f>
        <v>Saase3 Leutershausen Handball</v>
      </c>
    </row>
    <row r="485" spans="2:14" x14ac:dyDescent="0.35">
      <c r="B485">
        <f t="shared" si="91"/>
        <v>15</v>
      </c>
      <c r="C485">
        <f t="shared" si="86"/>
        <v>14</v>
      </c>
      <c r="D485" t="str" cm="1">
        <f t="array" ref="D485">IF(C485=0,INDEX(D$320:D$400,B$340+1-B485),INDEX(I$471:I$1002,C485))</f>
        <v>VL Platz 3</v>
      </c>
      <c r="E485" t="str" cm="1">
        <f t="array" ref="E485">IF(C485=0,INDEX(E$320:E$400,B$340+1-B485),INDEX(N$471:N$1002,C485))</f>
        <v>Saase3 Leutershausen Handball</v>
      </c>
      <c r="F485">
        <f t="shared" si="87"/>
        <v>16</v>
      </c>
      <c r="G485">
        <v>0</v>
      </c>
      <c r="H485">
        <f t="shared" si="92"/>
        <v>15</v>
      </c>
      <c r="I485" t="str">
        <f t="shared" si="93"/>
        <v>VL Platz 4</v>
      </c>
      <c r="J485" t="s">
        <v>2</v>
      </c>
      <c r="K485">
        <v>4</v>
      </c>
      <c r="M485">
        <f>VLOOKUP(H485+1,BHV!U$58:V$110,2,FALSE)</f>
        <v>16</v>
      </c>
      <c r="N485" t="str" cm="1">
        <f t="array" ref="N485">INDEX(BHV!E$58:E$952,M485)</f>
        <v>HG Königshofen/Sachsenflur</v>
      </c>
    </row>
    <row r="486" spans="2:14" x14ac:dyDescent="0.35">
      <c r="B486">
        <f t="shared" si="91"/>
        <v>16</v>
      </c>
      <c r="C486">
        <f t="shared" si="86"/>
        <v>15</v>
      </c>
      <c r="D486" t="str" cm="1">
        <f t="array" ref="D486">IF(C486=0,INDEX(D$320:D$400,B$340+1-B486),INDEX(I$471:I$1002,C486))</f>
        <v>VL Platz 4</v>
      </c>
      <c r="E486" t="str" cm="1">
        <f t="array" ref="E486">IF(C486=0,INDEX(E$320:E$400,B$340+1-B486),INDEX(N$471:N$1002,C486))</f>
        <v>HG Königshofen/Sachsenflur</v>
      </c>
      <c r="F486">
        <f t="shared" si="87"/>
        <v>17</v>
      </c>
      <c r="G486">
        <v>0</v>
      </c>
      <c r="H486">
        <f t="shared" si="92"/>
        <v>16</v>
      </c>
      <c r="I486" t="str">
        <f t="shared" si="93"/>
        <v>VL Platz 5</v>
      </c>
      <c r="J486" t="s">
        <v>2</v>
      </c>
      <c r="K486">
        <v>5</v>
      </c>
      <c r="M486">
        <f>VLOOKUP(H486+1,BHV!U$58:V$110,2,FALSE)</f>
        <v>17</v>
      </c>
      <c r="N486" t="str" cm="1">
        <f t="array" ref="N486">INDEX(BHV!E$58:E$952,M486)</f>
        <v>Rhein-Neckar Löwen</v>
      </c>
    </row>
    <row r="487" spans="2:14" x14ac:dyDescent="0.35">
      <c r="B487">
        <f t="shared" si="91"/>
        <v>17</v>
      </c>
      <c r="C487">
        <f t="shared" si="86"/>
        <v>16</v>
      </c>
      <c r="D487" t="str" cm="1">
        <f t="array" ref="D487">IF(C487=0,INDEX(D$320:D$400,B$340+1-B487),INDEX(I$471:I$1002,C487))</f>
        <v>VL Platz 5</v>
      </c>
      <c r="E487" t="str" cm="1">
        <f t="array" ref="E487">IF(C487=0,INDEX(E$320:E$400,B$340+1-B487),INDEX(N$471:N$1002,C487))</f>
        <v>Rhein-Neckar Löwen</v>
      </c>
      <c r="F487">
        <f t="shared" si="87"/>
        <v>18</v>
      </c>
      <c r="G487">
        <v>0</v>
      </c>
      <c r="H487">
        <f t="shared" si="92"/>
        <v>17</v>
      </c>
      <c r="I487" t="str">
        <f t="shared" si="93"/>
        <v>VL Platz 6</v>
      </c>
      <c r="J487" t="s">
        <v>2</v>
      </c>
      <c r="K487">
        <v>6</v>
      </c>
      <c r="M487">
        <f>VLOOKUP(H487+1,BHV!U$58:V$110,2,FALSE)</f>
        <v>18</v>
      </c>
      <c r="N487" t="str" cm="1">
        <f t="array" ref="N487">INDEX(BHV!E$58:E$952,M487)</f>
        <v>TSV Handschuhsheim Frauen</v>
      </c>
    </row>
    <row r="488" spans="2:14" x14ac:dyDescent="0.35">
      <c r="B488">
        <f t="shared" si="91"/>
        <v>18</v>
      </c>
      <c r="C488">
        <f t="shared" si="86"/>
        <v>17</v>
      </c>
      <c r="D488" t="str" cm="1">
        <f t="array" ref="D488">IF(C488=0,INDEX(D$320:D$400,B$340+1-B488),INDEX(I$471:I$1002,C488))</f>
        <v>VL Platz 6</v>
      </c>
      <c r="E488" t="str" cm="1">
        <f t="array" ref="E488">IF(C488=0,INDEX(E$320:E$400,B$340+1-B488),INDEX(N$471:N$1002,C488))</f>
        <v>TSV Handschuhsheim Frauen</v>
      </c>
      <c r="F488">
        <f t="shared" si="87"/>
        <v>19</v>
      </c>
      <c r="G488">
        <v>0</v>
      </c>
      <c r="H488">
        <f t="shared" si="92"/>
        <v>18</v>
      </c>
      <c r="I488" t="str">
        <f t="shared" si="93"/>
        <v>VL Platz 7</v>
      </c>
      <c r="J488" t="s">
        <v>2</v>
      </c>
      <c r="K488">
        <v>7</v>
      </c>
      <c r="M488">
        <f>VLOOKUP(H488+1,BHV!U$58:V$110,2,FALSE)</f>
        <v>19</v>
      </c>
      <c r="N488" t="str" cm="1">
        <f t="array" ref="N488">INDEX(BHV!E$58:E$952,M488)</f>
        <v>HSG St. Leon/Reilingen 2</v>
      </c>
    </row>
    <row r="489" spans="2:14" x14ac:dyDescent="0.35">
      <c r="B489">
        <f t="shared" si="91"/>
        <v>19</v>
      </c>
      <c r="C489">
        <f t="shared" si="86"/>
        <v>18</v>
      </c>
      <c r="D489" t="str" cm="1">
        <f t="array" ref="D489">IF(C489=0,INDEX(D$320:D$400,B$340+1-B489),INDEX(I$471:I$1002,C489))</f>
        <v>VL Platz 7</v>
      </c>
      <c r="E489" t="str" cm="1">
        <f t="array" ref="E489">IF(C489=0,INDEX(E$320:E$400,B$340+1-B489),INDEX(N$471:N$1002,C489))</f>
        <v>HSG St. Leon/Reilingen 2</v>
      </c>
      <c r="F489">
        <f t="shared" si="87"/>
        <v>20</v>
      </c>
      <c r="G489">
        <v>0</v>
      </c>
      <c r="H489">
        <f t="shared" si="92"/>
        <v>19</v>
      </c>
      <c r="I489" t="str">
        <f t="shared" si="93"/>
        <v>VL Platz 8</v>
      </c>
      <c r="J489" t="s">
        <v>2</v>
      </c>
      <c r="K489">
        <v>8</v>
      </c>
      <c r="M489">
        <f>VLOOKUP(H489+1,BHV!U$58:V$110,2,FALSE)</f>
        <v>20</v>
      </c>
      <c r="N489" t="str" cm="1">
        <f t="array" ref="N489">INDEX(BHV!E$58:E$952,M489)</f>
        <v>TG 88 Pforzheim 2</v>
      </c>
    </row>
    <row r="490" spans="2:14" x14ac:dyDescent="0.35">
      <c r="B490">
        <f t="shared" si="91"/>
        <v>20</v>
      </c>
      <c r="C490">
        <f t="shared" si="86"/>
        <v>19</v>
      </c>
      <c r="D490" t="str" cm="1">
        <f t="array" ref="D490">IF(C490=0,INDEX(D$320:D$400,B$340+1-B490),INDEX(I$471:I$1002,C490))</f>
        <v>VL Platz 8</v>
      </c>
      <c r="E490" t="str" cm="1">
        <f t="array" ref="E490">IF(C490=0,INDEX(E$320:E$400,B$340+1-B490),INDEX(N$471:N$1002,C490))</f>
        <v>TG 88 Pforzheim 2</v>
      </c>
      <c r="F490">
        <f t="shared" si="87"/>
        <v>21</v>
      </c>
      <c r="G490">
        <v>0</v>
      </c>
      <c r="H490">
        <f t="shared" si="92"/>
        <v>20</v>
      </c>
      <c r="I490" t="str">
        <f t="shared" si="93"/>
        <v>VL Platz 9</v>
      </c>
      <c r="J490" t="s">
        <v>2</v>
      </c>
      <c r="K490">
        <v>9</v>
      </c>
      <c r="M490">
        <f>VLOOKUP(H490+1,BHV!U$58:V$110,2,FALSE)</f>
        <v>21</v>
      </c>
      <c r="N490" t="str" cm="1">
        <f t="array" ref="N490">INDEX(BHV!E$58:E$952,M490)</f>
        <v>TG Neureut</v>
      </c>
    </row>
    <row r="491" spans="2:14" x14ac:dyDescent="0.35">
      <c r="B491">
        <f t="shared" si="91"/>
        <v>21</v>
      </c>
      <c r="C491">
        <f t="shared" si="86"/>
        <v>20</v>
      </c>
      <c r="D491" t="str" cm="1">
        <f t="array" ref="D491">IF(C491=0,INDEX(D$320:D$400,B$340+1-B491),INDEX(I$471:I$1002,C491))</f>
        <v>VL Platz 9</v>
      </c>
      <c r="E491" t="str" cm="1">
        <f t="array" ref="E491">IF(C491=0,INDEX(E$320:E$400,B$340+1-B491),INDEX(N$471:N$1002,C491))</f>
        <v>TG Neureut</v>
      </c>
      <c r="F491">
        <f t="shared" si="87"/>
        <v>22</v>
      </c>
      <c r="G491">
        <f>IF(B$340&lt;2,0,2)</f>
        <v>0</v>
      </c>
      <c r="H491">
        <f t="shared" si="92"/>
        <v>21</v>
      </c>
      <c r="I491" t="str">
        <f t="shared" si="93"/>
        <v>VL Platz 10</v>
      </c>
      <c r="J491" t="s">
        <v>2</v>
      </c>
      <c r="K491">
        <v>10</v>
      </c>
      <c r="M491">
        <f>VLOOKUP(H491+1,BHV!U$58:V$110,2,FALSE)</f>
        <v>22</v>
      </c>
      <c r="N491" t="str" cm="1">
        <f t="array" ref="N491">INDEX(BHV!E$58:E$952,M491)</f>
        <v>TV Schriesheim</v>
      </c>
    </row>
    <row r="492" spans="2:14" x14ac:dyDescent="0.35">
      <c r="B492">
        <f t="shared" si="91"/>
        <v>22</v>
      </c>
      <c r="C492">
        <f t="shared" si="86"/>
        <v>21</v>
      </c>
      <c r="D492" t="str" cm="1">
        <f t="array" ref="D492">IF(C492=0,INDEX(D$320:D$400,B$340+1-B492),INDEX(I$471:I$1002,C492))</f>
        <v>VL Platz 10</v>
      </c>
      <c r="E492" t="str" cm="1">
        <f t="array" ref="E492">IF(C492=0,INDEX(E$320:E$400,B$340+1-B492),INDEX(N$471:N$1002,C492))</f>
        <v>TV Schriesheim</v>
      </c>
      <c r="F492">
        <f t="shared" si="87"/>
        <v>25</v>
      </c>
      <c r="G492">
        <f>IF(B$340=0,0,2)</f>
        <v>2</v>
      </c>
      <c r="H492">
        <f t="shared" si="92"/>
        <v>22</v>
      </c>
      <c r="I492" t="str">
        <f t="shared" si="93"/>
        <v>VL Platz 11</v>
      </c>
      <c r="J492" t="s">
        <v>2</v>
      </c>
      <c r="K492">
        <v>11</v>
      </c>
      <c r="M492">
        <f>VLOOKUP(H492+1,BHV!U$58:V$110,2,FALSE)</f>
        <v>23</v>
      </c>
      <c r="N492" t="str" cm="1">
        <f t="array" ref="N492">INDEX(BHV!E$58:E$952,M492)</f>
        <v>TSV Rintheim 2</v>
      </c>
    </row>
    <row r="493" spans="2:14" x14ac:dyDescent="0.35">
      <c r="B493">
        <f t="shared" si="91"/>
        <v>23</v>
      </c>
      <c r="C493">
        <f t="shared" si="86"/>
        <v>23</v>
      </c>
      <c r="D493" t="str" cm="1">
        <f t="array" ref="D493">IF(C493=0,INDEX(D$320:D$400,B$340+1-B493),INDEX(I$471:I$1002,C493))</f>
        <v>LL Platz 1 Rang 1</v>
      </c>
      <c r="E493" t="str" cm="1">
        <f t="array" ref="E493">IF(C493=0,INDEX(E$320:E$400,B$340+1-B493),INDEX(N$471:N$1002,C493))</f>
        <v>SGH Waldbrunn/Eberbach</v>
      </c>
      <c r="F493">
        <f t="shared" si="87"/>
        <v>23</v>
      </c>
      <c r="G493">
        <f>-1-B$340+1</f>
        <v>-1</v>
      </c>
      <c r="H493">
        <f t="shared" si="92"/>
        <v>23</v>
      </c>
      <c r="I493" t="str">
        <f t="shared" ref="I493:I494" si="94">J493&amp;" Platz "&amp;K493&amp;" Rang "&amp;L493</f>
        <v>LL Platz 1 Rang 1</v>
      </c>
      <c r="J493" t="s">
        <v>3</v>
      </c>
      <c r="K493">
        <v>1</v>
      </c>
      <c r="L493">
        <v>1</v>
      </c>
      <c r="M493">
        <f>VLOOKUP(H493+1,BHV!U$58:V$110,2,FALSE)</f>
        <v>35</v>
      </c>
      <c r="N493" t="str" cm="1">
        <f t="array" ref="N493">INDEX(BHV!E$58:E$952,M493)</f>
        <v>SGH Waldbrunn/Eberbach</v>
      </c>
    </row>
    <row r="494" spans="2:14" x14ac:dyDescent="0.35">
      <c r="B494">
        <f t="shared" si="91"/>
        <v>24</v>
      </c>
      <c r="C494">
        <f t="shared" si="86"/>
        <v>24</v>
      </c>
      <c r="D494" t="str" cm="1">
        <f t="array" ref="D494">IF(C494=0,INDEX(D$320:D$400,B$340+1-B494),INDEX(I$471:I$1002,C494))</f>
        <v>LL Platz 1 Rang 2</v>
      </c>
      <c r="E494" t="str" cm="1">
        <f t="array" ref="E494">IF(C494=0,INDEX(E$320:E$400,B$340+1-B494),INDEX(N$471:N$1002,C494))</f>
        <v>SG Eggenstein-Leopoldshafen</v>
      </c>
      <c r="F494">
        <f t="shared" si="87"/>
        <v>24</v>
      </c>
      <c r="G494">
        <f>-1-B$340+1</f>
        <v>-1</v>
      </c>
      <c r="H494">
        <f t="shared" si="92"/>
        <v>24</v>
      </c>
      <c r="I494" t="str">
        <f t="shared" si="94"/>
        <v>LL Platz 1 Rang 2</v>
      </c>
      <c r="J494" t="s">
        <v>3</v>
      </c>
      <c r="K494">
        <v>1</v>
      </c>
      <c r="L494">
        <v>2</v>
      </c>
      <c r="M494">
        <f>VLOOKUP(H494+1,BHV!U$58:V$110,2,FALSE)</f>
        <v>25</v>
      </c>
      <c r="N494" t="str" cm="1">
        <f t="array" ref="N494">INDEX(BHV!E$58:E$952,M494)</f>
        <v>SG Eggenstein-Leopoldshafen</v>
      </c>
    </row>
    <row r="495" spans="2:14" x14ac:dyDescent="0.35">
      <c r="B495">
        <f t="shared" si="91"/>
        <v>25</v>
      </c>
      <c r="C495">
        <f t="shared" si="86"/>
        <v>22</v>
      </c>
      <c r="D495" t="str" cm="1">
        <f t="array" ref="D495">IF(C495=0,INDEX(D$320:D$400,B$340+1-B495),INDEX(I$471:I$1002,C495))</f>
        <v>VL Platz 11</v>
      </c>
      <c r="E495" t="str" cm="1">
        <f t="array" ref="E495">IF(C495=0,INDEX(E$320:E$400,B$340+1-B495),INDEX(N$471:N$1002,C495))</f>
        <v>TSV Rintheim 2</v>
      </c>
      <c r="F495">
        <f t="shared" si="87"/>
        <v>26</v>
      </c>
      <c r="G495">
        <v>0</v>
      </c>
      <c r="H495">
        <f t="shared" si="92"/>
        <v>25</v>
      </c>
      <c r="I495" t="str">
        <f t="shared" ref="I495:I514" si="95">J495&amp;" "&amp;L495&amp;" Platz "&amp;K495</f>
        <v>LL AES Platz 2</v>
      </c>
      <c r="J495" t="s">
        <v>3</v>
      </c>
      <c r="K495" cm="1">
        <f t="array" ref="K495">INDEX(BHV!D$58:D$952,M495)</f>
        <v>2</v>
      </c>
      <c r="L495" t="str" cm="1">
        <f t="array" ref="L495">INDEX(BHV!B$58:B$952,M495)</f>
        <v>AES</v>
      </c>
      <c r="M495">
        <f>VLOOKUP(H495+1,BHV!U$58:V$110,2,FALSE)</f>
        <v>26</v>
      </c>
      <c r="N495" t="str" cm="1">
        <f t="array" ref="N495">INDEX(BHV!E$58:E$952,M495)</f>
        <v>HSG Ettlingen</v>
      </c>
    </row>
    <row r="496" spans="2:14" x14ac:dyDescent="0.35">
      <c r="B496">
        <f t="shared" si="91"/>
        <v>26</v>
      </c>
      <c r="C496">
        <f t="shared" si="86"/>
        <v>25</v>
      </c>
      <c r="D496" t="str" cm="1">
        <f t="array" ref="D496">IF(C496=0,INDEX(D$320:D$400,B$340+1-B496),INDEX(I$471:I$1002,C496))</f>
        <v>LL AES Platz 2</v>
      </c>
      <c r="E496" t="str" cm="1">
        <f t="array" ref="E496">IF(C496=0,INDEX(E$320:E$400,B$340+1-B496),INDEX(N$471:N$1002,C496))</f>
        <v>HSG Ettlingen</v>
      </c>
      <c r="F496">
        <f t="shared" si="87"/>
        <v>27</v>
      </c>
      <c r="G496">
        <v>0</v>
      </c>
      <c r="H496">
        <f t="shared" si="92"/>
        <v>26</v>
      </c>
      <c r="I496" t="str">
        <f t="shared" si="95"/>
        <v>LL RNT Platz 2</v>
      </c>
      <c r="J496" t="s">
        <v>3</v>
      </c>
      <c r="K496" cm="1">
        <f t="array" ref="K496">INDEX(BHV!D$58:D$952,M496)</f>
        <v>2</v>
      </c>
      <c r="L496" t="str" cm="1">
        <f t="array" ref="L496">INDEX(BHV!B$58:B$952,M496)</f>
        <v>RNT</v>
      </c>
      <c r="M496">
        <f>VLOOKUP(H496+1,BHV!U$58:V$110,2,FALSE)</f>
        <v>36</v>
      </c>
      <c r="N496" t="str" cm="1">
        <f t="array" ref="N496">INDEX(BHV!E$58:E$952,M496)</f>
        <v>HSG Bergstraße</v>
      </c>
    </row>
    <row r="497" spans="2:14" x14ac:dyDescent="0.35">
      <c r="B497">
        <f t="shared" si="91"/>
        <v>27</v>
      </c>
      <c r="C497">
        <f t="shared" si="86"/>
        <v>26</v>
      </c>
      <c r="D497" t="str" cm="1">
        <f t="array" ref="D497">IF(C497=0,INDEX(D$320:D$400,B$340+1-B497),INDEX(I$471:I$1002,C497))</f>
        <v>LL RNT Platz 2</v>
      </c>
      <c r="E497" t="str" cm="1">
        <f t="array" ref="E497">IF(C497=0,INDEX(E$320:E$400,B$340+1-B497),INDEX(N$471:N$1002,C497))</f>
        <v>HSG Bergstraße</v>
      </c>
      <c r="F497">
        <f t="shared" si="87"/>
        <v>28</v>
      </c>
      <c r="G497">
        <v>0</v>
      </c>
      <c r="H497">
        <f t="shared" si="92"/>
        <v>27</v>
      </c>
      <c r="I497" t="str">
        <f t="shared" si="95"/>
        <v>LL RNT Platz 3</v>
      </c>
      <c r="J497" t="s">
        <v>3</v>
      </c>
      <c r="K497" cm="1">
        <f t="array" ref="K497">INDEX(BHV!D$58:D$952,M497)</f>
        <v>3</v>
      </c>
      <c r="L497" t="str" cm="1">
        <f t="array" ref="L497">INDEX(BHV!B$58:B$952,M497)</f>
        <v>RNT</v>
      </c>
      <c r="M497">
        <f>VLOOKUP(H497+1,BHV!U$58:V$110,2,FALSE)</f>
        <v>37</v>
      </c>
      <c r="N497" t="str" cm="1">
        <f t="array" ref="N497">INDEX(BHV!E$58:E$952,M497)</f>
        <v>HG Oftersheim/Schwetzingen 2</v>
      </c>
    </row>
    <row r="498" spans="2:14" x14ac:dyDescent="0.35">
      <c r="B498">
        <f t="shared" si="91"/>
        <v>28</v>
      </c>
      <c r="C498">
        <f t="shared" si="86"/>
        <v>27</v>
      </c>
      <c r="D498" t="str" cm="1">
        <f t="array" ref="D498">IF(C498=0,INDEX(D$320:D$400,B$340+1-B498),INDEX(I$471:I$1002,C498))</f>
        <v>LL RNT Platz 3</v>
      </c>
      <c r="E498" t="str" cm="1">
        <f t="array" ref="E498">IF(C498=0,INDEX(E$320:E$400,B$340+1-B498),INDEX(N$471:N$1002,C498))</f>
        <v>HG Oftersheim/Schwetzingen 2</v>
      </c>
      <c r="F498">
        <f t="shared" si="87"/>
        <v>29</v>
      </c>
      <c r="G498">
        <v>0</v>
      </c>
      <c r="H498">
        <f t="shared" si="92"/>
        <v>28</v>
      </c>
      <c r="I498" t="str">
        <f t="shared" si="95"/>
        <v>LL AES Platz 3</v>
      </c>
      <c r="J498" t="s">
        <v>3</v>
      </c>
      <c r="K498" cm="1">
        <f t="array" ref="K498">INDEX(BHV!D$58:D$952,M498)</f>
        <v>3</v>
      </c>
      <c r="L498" t="str" cm="1">
        <f t="array" ref="L498">INDEX(BHV!B$58:B$952,M498)</f>
        <v>AES</v>
      </c>
      <c r="M498">
        <f>VLOOKUP(H498+1,BHV!U$58:V$110,2,FALSE)</f>
        <v>27</v>
      </c>
      <c r="N498" t="str" cm="1">
        <f t="array" ref="N498">INDEX(BHV!E$58:E$952,M498)</f>
        <v>HSG Walzbachtal 2</v>
      </c>
    </row>
    <row r="499" spans="2:14" x14ac:dyDescent="0.35">
      <c r="B499">
        <f t="shared" si="91"/>
        <v>29</v>
      </c>
      <c r="C499">
        <f t="shared" si="86"/>
        <v>28</v>
      </c>
      <c r="D499" t="str" cm="1">
        <f t="array" ref="D499">IF(C499=0,INDEX(D$320:D$400,B$340+1-B499),INDEX(I$471:I$1002,C499))</f>
        <v>LL AES Platz 3</v>
      </c>
      <c r="E499" t="str" cm="1">
        <f t="array" ref="E499">IF(C499=0,INDEX(E$320:E$400,B$340+1-B499),INDEX(N$471:N$1002,C499))</f>
        <v>HSG Walzbachtal 2</v>
      </c>
      <c r="F499">
        <f t="shared" si="87"/>
        <v>30</v>
      </c>
      <c r="G499">
        <v>0</v>
      </c>
      <c r="H499">
        <f t="shared" si="92"/>
        <v>29</v>
      </c>
      <c r="I499" t="str">
        <f t="shared" si="95"/>
        <v>LL RNT Platz 4</v>
      </c>
      <c r="J499" t="s">
        <v>3</v>
      </c>
      <c r="K499" cm="1">
        <f t="array" ref="K499">INDEX(BHV!D$58:D$952,M499)</f>
        <v>4</v>
      </c>
      <c r="L499" t="str" cm="1">
        <f t="array" ref="L499">INDEX(BHV!B$58:B$952,M499)</f>
        <v>RNT</v>
      </c>
      <c r="M499">
        <f>VLOOKUP(H499+1,BHV!U$58:V$110,2,FALSE)</f>
        <v>38</v>
      </c>
      <c r="N499" t="str" cm="1">
        <f t="array" ref="N499">INDEX(BHV!E$58:E$952,M499)</f>
        <v>SG Nußloch 2</v>
      </c>
    </row>
    <row r="500" spans="2:14" x14ac:dyDescent="0.35">
      <c r="B500">
        <f t="shared" si="91"/>
        <v>30</v>
      </c>
      <c r="C500">
        <f t="shared" si="86"/>
        <v>29</v>
      </c>
      <c r="D500" t="str" cm="1">
        <f t="array" ref="D500">IF(C500=0,INDEX(D$320:D$400,B$340+1-B500),INDEX(I$471:I$1002,C500))</f>
        <v>LL RNT Platz 4</v>
      </c>
      <c r="E500" t="str" cm="1">
        <f t="array" ref="E500">IF(C500=0,INDEX(E$320:E$400,B$340+1-B500),INDEX(N$471:N$1002,C500))</f>
        <v>SG Nußloch 2</v>
      </c>
      <c r="F500">
        <f t="shared" si="87"/>
        <v>31</v>
      </c>
      <c r="G500">
        <v>0</v>
      </c>
      <c r="H500">
        <f t="shared" si="92"/>
        <v>30</v>
      </c>
      <c r="I500" t="str">
        <f t="shared" si="95"/>
        <v>LL AES Platz 4</v>
      </c>
      <c r="J500" t="s">
        <v>3</v>
      </c>
      <c r="K500" cm="1">
        <f t="array" ref="K500">INDEX(BHV!D$58:D$952,M500)</f>
        <v>4</v>
      </c>
      <c r="L500" t="str" cm="1">
        <f t="array" ref="L500">INDEX(BHV!B$58:B$952,M500)</f>
        <v>AES</v>
      </c>
      <c r="M500">
        <f>VLOOKUP(H500+1,BHV!U$58:V$110,2,FALSE)</f>
        <v>28</v>
      </c>
      <c r="N500" t="str" cm="1">
        <f t="array" ref="N500">INDEX(BHV!E$58:E$952,M500)</f>
        <v>SG Hambrücken/Weiher</v>
      </c>
    </row>
    <row r="501" spans="2:14" x14ac:dyDescent="0.35">
      <c r="B501">
        <f t="shared" si="91"/>
        <v>31</v>
      </c>
      <c r="C501">
        <f t="shared" si="86"/>
        <v>30</v>
      </c>
      <c r="D501" t="str" cm="1">
        <f t="array" ref="D501">IF(C501=0,INDEX(D$320:D$400,B$340+1-B501),INDEX(I$471:I$1002,C501))</f>
        <v>LL AES Platz 4</v>
      </c>
      <c r="E501" t="str" cm="1">
        <f t="array" ref="E501">IF(C501=0,INDEX(E$320:E$400,B$340+1-B501),INDEX(N$471:N$1002,C501))</f>
        <v>SG Hambrücken/Weiher</v>
      </c>
      <c r="F501">
        <f t="shared" si="87"/>
        <v>32</v>
      </c>
      <c r="G501">
        <v>0</v>
      </c>
      <c r="H501">
        <f t="shared" si="92"/>
        <v>31</v>
      </c>
      <c r="I501" t="str">
        <f t="shared" si="95"/>
        <v>LL AES Platz 5</v>
      </c>
      <c r="J501" t="s">
        <v>3</v>
      </c>
      <c r="K501" cm="1">
        <f t="array" ref="K501">INDEX(BHV!D$58:D$952,M501)</f>
        <v>5</v>
      </c>
      <c r="L501" t="str" cm="1">
        <f t="array" ref="L501">INDEX(BHV!B$58:B$952,M501)</f>
        <v>AES</v>
      </c>
      <c r="M501">
        <f>VLOOKUP(H501+1,BHV!U$58:V$110,2,FALSE)</f>
        <v>29</v>
      </c>
      <c r="N501" t="str" cm="1">
        <f t="array" ref="N501">INDEX(BHV!E$58:E$952,M501)</f>
        <v xml:space="preserve">SG Neuthard/Büchenau </v>
      </c>
    </row>
    <row r="502" spans="2:14" x14ac:dyDescent="0.35">
      <c r="B502">
        <f t="shared" si="91"/>
        <v>32</v>
      </c>
      <c r="C502">
        <f t="shared" si="86"/>
        <v>31</v>
      </c>
      <c r="D502" t="str" cm="1">
        <f t="array" ref="D502">IF(C502=0,INDEX(D$320:D$400,B$340+1-B502),INDEX(I$471:I$1002,C502))</f>
        <v>LL AES Platz 5</v>
      </c>
      <c r="E502" t="str" cm="1">
        <f t="array" ref="E502">IF(C502=0,INDEX(E$320:E$400,B$340+1-B502),INDEX(N$471:N$1002,C502))</f>
        <v xml:space="preserve">SG Neuthard/Büchenau </v>
      </c>
      <c r="F502">
        <f t="shared" si="87"/>
        <v>33</v>
      </c>
      <c r="G502">
        <v>0</v>
      </c>
      <c r="H502">
        <f t="shared" si="92"/>
        <v>32</v>
      </c>
      <c r="I502" t="str">
        <f t="shared" si="95"/>
        <v>LL AES Platz 6</v>
      </c>
      <c r="J502" t="s">
        <v>3</v>
      </c>
      <c r="K502" cm="1">
        <f t="array" ref="K502">INDEX(BHV!D$58:D$952,M502)</f>
        <v>6</v>
      </c>
      <c r="L502" t="str" cm="1">
        <f t="array" ref="L502">INDEX(BHV!B$58:B$952,M502)</f>
        <v>AES</v>
      </c>
      <c r="M502">
        <f>VLOOKUP(H502+1,BHV!U$58:V$110,2,FALSE)</f>
        <v>30</v>
      </c>
      <c r="N502" t="str" cm="1">
        <f t="array" ref="N502">INDEX(BHV!E$58:E$952,M502)</f>
        <v>Turnerschaft Durlach</v>
      </c>
    </row>
    <row r="503" spans="2:14" x14ac:dyDescent="0.35">
      <c r="B503">
        <f t="shared" si="91"/>
        <v>33</v>
      </c>
      <c r="C503">
        <f t="shared" si="86"/>
        <v>32</v>
      </c>
      <c r="D503" t="str" cm="1">
        <f t="array" ref="D503">IF(C503=0,INDEX(D$320:D$400,B$340+1-B503),INDEX(I$471:I$1002,C503))</f>
        <v>LL AES Platz 6</v>
      </c>
      <c r="E503" t="str" cm="1">
        <f t="array" ref="E503">IF(C503=0,INDEX(E$320:E$400,B$340+1-B503),INDEX(N$471:N$1002,C503))</f>
        <v>Turnerschaft Durlach</v>
      </c>
      <c r="F503">
        <f t="shared" si="87"/>
        <v>34</v>
      </c>
      <c r="G503">
        <v>0</v>
      </c>
      <c r="H503">
        <f t="shared" si="92"/>
        <v>33</v>
      </c>
      <c r="I503" t="str">
        <f t="shared" si="95"/>
        <v>LL RNT Platz 5</v>
      </c>
      <c r="J503" t="s">
        <v>3</v>
      </c>
      <c r="K503" cm="1">
        <f t="array" ref="K503">INDEX(BHV!D$58:D$952,M503)</f>
        <v>5</v>
      </c>
      <c r="L503" t="str" cm="1">
        <f t="array" ref="L503">INDEX(BHV!B$58:B$952,M503)</f>
        <v>RNT</v>
      </c>
      <c r="M503">
        <f>VLOOKUP(H503+1,BHV!U$58:V$110,2,FALSE)</f>
        <v>39</v>
      </c>
      <c r="N503" t="str" cm="1">
        <f t="array" ref="N503">INDEX(BHV!E$58:E$952,M503)</f>
        <v>Saase3 Leutershausen Handball 2</v>
      </c>
    </row>
    <row r="504" spans="2:14" x14ac:dyDescent="0.35">
      <c r="B504">
        <f t="shared" si="91"/>
        <v>34</v>
      </c>
      <c r="C504">
        <f t="shared" si="86"/>
        <v>33</v>
      </c>
      <c r="D504" t="str" cm="1">
        <f t="array" ref="D504">IF(C504=0,INDEX(D$320:D$400,B$340+1-B504),INDEX(I$471:I$1002,C504))</f>
        <v>LL RNT Platz 5</v>
      </c>
      <c r="E504" t="str" cm="1">
        <f t="array" ref="E504">IF(C504=0,INDEX(E$320:E$400,B$340+1-B504),INDEX(N$471:N$1002,C504))</f>
        <v>Saase3 Leutershausen Handball 2</v>
      </c>
      <c r="F504">
        <f t="shared" si="87"/>
        <v>35</v>
      </c>
      <c r="G504">
        <v>0</v>
      </c>
      <c r="H504">
        <f t="shared" si="92"/>
        <v>34</v>
      </c>
      <c r="I504" t="str">
        <f t="shared" si="95"/>
        <v>LL AES Platz 7</v>
      </c>
      <c r="J504" t="s">
        <v>3</v>
      </c>
      <c r="K504" cm="1">
        <f t="array" ref="K504">INDEX(BHV!D$58:D$952,M504)</f>
        <v>7</v>
      </c>
      <c r="L504" t="str" cm="1">
        <f t="array" ref="L504">INDEX(BHV!B$58:B$952,M504)</f>
        <v>AES</v>
      </c>
      <c r="M504">
        <f>VLOOKUP(H504+1,BHV!U$58:V$110,2,FALSE)</f>
        <v>31</v>
      </c>
      <c r="N504" t="str" cm="1">
        <f t="array" ref="N504">INDEX(BHV!E$58:E$952,M504)</f>
        <v>SG Pforzheim/Eutingen</v>
      </c>
    </row>
    <row r="505" spans="2:14" x14ac:dyDescent="0.35">
      <c r="B505">
        <f t="shared" si="91"/>
        <v>35</v>
      </c>
      <c r="C505">
        <f t="shared" si="86"/>
        <v>34</v>
      </c>
      <c r="D505" t="str" cm="1">
        <f t="array" ref="D505">IF(C505=0,INDEX(D$320:D$400,B$340+1-B505),INDEX(I$471:I$1002,C505))</f>
        <v>LL AES Platz 7</v>
      </c>
      <c r="E505" t="str" cm="1">
        <f t="array" ref="E505">IF(C505=0,INDEX(E$320:E$400,B$340+1-B505),INDEX(N$471:N$1002,C505))</f>
        <v>SG Pforzheim/Eutingen</v>
      </c>
      <c r="F505">
        <f t="shared" si="87"/>
        <v>36</v>
      </c>
      <c r="G505">
        <v>0</v>
      </c>
      <c r="H505">
        <f t="shared" si="92"/>
        <v>35</v>
      </c>
      <c r="I505" t="str">
        <f t="shared" si="95"/>
        <v>LL RNT Platz 6</v>
      </c>
      <c r="J505" t="s">
        <v>3</v>
      </c>
      <c r="K505" cm="1">
        <f t="array" ref="K505">INDEX(BHV!D$58:D$952,M505)</f>
        <v>6</v>
      </c>
      <c r="L505" t="str" cm="1">
        <f t="array" ref="L505">INDEX(BHV!B$58:B$952,M505)</f>
        <v>RNT</v>
      </c>
      <c r="M505">
        <f>VLOOKUP(H505+1,BHV!U$58:V$110,2,FALSE)</f>
        <v>40</v>
      </c>
      <c r="N505" t="str" cm="1">
        <f t="array" ref="N505">INDEX(BHV!E$58:E$952,M505)</f>
        <v>TV Mosbach</v>
      </c>
    </row>
    <row r="506" spans="2:14" x14ac:dyDescent="0.35">
      <c r="B506">
        <f t="shared" si="91"/>
        <v>36</v>
      </c>
      <c r="C506">
        <f t="shared" si="86"/>
        <v>35</v>
      </c>
      <c r="D506" t="str" cm="1">
        <f t="array" ref="D506">IF(C506=0,INDEX(D$320:D$400,B$340+1-B506),INDEX(I$471:I$1002,C506))</f>
        <v>LL RNT Platz 6</v>
      </c>
      <c r="E506" t="str" cm="1">
        <f t="array" ref="E506">IF(C506=0,INDEX(E$320:E$400,B$340+1-B506),INDEX(N$471:N$1002,C506))</f>
        <v>TV Mosbach</v>
      </c>
      <c r="F506">
        <f t="shared" si="87"/>
        <v>37</v>
      </c>
      <c r="G506">
        <v>0</v>
      </c>
      <c r="H506">
        <f t="shared" si="92"/>
        <v>36</v>
      </c>
      <c r="I506" t="str">
        <f t="shared" si="95"/>
        <v>LL RNT Platz 7</v>
      </c>
      <c r="J506" t="s">
        <v>3</v>
      </c>
      <c r="K506" cm="1">
        <f t="array" ref="K506">INDEX(BHV!D$58:D$952,M506)</f>
        <v>7</v>
      </c>
      <c r="L506" t="str" cm="1">
        <f t="array" ref="L506">INDEX(BHV!B$58:B$952,M506)</f>
        <v>RNT</v>
      </c>
      <c r="M506">
        <f>VLOOKUP(H506+1,BHV!U$58:V$110,2,FALSE)</f>
        <v>41</v>
      </c>
      <c r="N506" t="str" cm="1">
        <f t="array" ref="N506">INDEX(BHV!E$58:E$952,M506)</f>
        <v>TSV Rot-Malsch 2</v>
      </c>
    </row>
    <row r="507" spans="2:14" x14ac:dyDescent="0.35">
      <c r="B507">
        <f t="shared" si="91"/>
        <v>37</v>
      </c>
      <c r="C507">
        <f t="shared" si="86"/>
        <v>36</v>
      </c>
      <c r="D507" t="str" cm="1">
        <f t="array" ref="D507">IF(C507=0,INDEX(D$320:D$400,B$340+1-B507),INDEX(I$471:I$1002,C507))</f>
        <v>LL RNT Platz 7</v>
      </c>
      <c r="E507" t="str" cm="1">
        <f t="array" ref="E507">IF(C507=0,INDEX(E$320:E$400,B$340+1-B507),INDEX(N$471:N$1002,C507))</f>
        <v>TSV Rot-Malsch 2</v>
      </c>
      <c r="F507">
        <f t="shared" si="87"/>
        <v>38</v>
      </c>
      <c r="G507">
        <v>0</v>
      </c>
      <c r="H507">
        <f t="shared" si="92"/>
        <v>37</v>
      </c>
      <c r="I507" t="str">
        <f t="shared" si="95"/>
        <v>LL RNT Platz 8</v>
      </c>
      <c r="J507" t="s">
        <v>3</v>
      </c>
      <c r="K507" cm="1">
        <f t="array" ref="K507">INDEX(BHV!D$58:D$952,M507)</f>
        <v>8</v>
      </c>
      <c r="L507" t="str" cm="1">
        <f t="array" ref="L507">INDEX(BHV!B$58:B$952,M507)</f>
        <v>RNT</v>
      </c>
      <c r="M507">
        <f>VLOOKUP(H507+1,BHV!U$58:V$110,2,FALSE)</f>
        <v>42</v>
      </c>
      <c r="N507" t="str" cm="1">
        <f t="array" ref="N507">INDEX(BHV!E$58:E$952,M507)</f>
        <v>TV Bammental</v>
      </c>
    </row>
    <row r="508" spans="2:14" x14ac:dyDescent="0.35">
      <c r="B508">
        <f t="shared" si="91"/>
        <v>38</v>
      </c>
      <c r="C508">
        <f t="shared" si="86"/>
        <v>37</v>
      </c>
      <c r="D508" t="str" cm="1">
        <f t="array" ref="D508">IF(C508=0,INDEX(D$320:D$400,B$340+1-B508),INDEX(I$471:I$1002,C508))</f>
        <v>LL RNT Platz 8</v>
      </c>
      <c r="E508" t="str" cm="1">
        <f t="array" ref="E508">IF(C508=0,INDEX(E$320:E$400,B$340+1-B508),INDEX(N$471:N$1002,C508))</f>
        <v>TV Bammental</v>
      </c>
      <c r="F508">
        <f t="shared" si="87"/>
        <v>39</v>
      </c>
      <c r="G508">
        <v>0</v>
      </c>
      <c r="H508">
        <f t="shared" si="92"/>
        <v>38</v>
      </c>
      <c r="I508" t="str">
        <f t="shared" si="95"/>
        <v>LL RNT Platz 9</v>
      </c>
      <c r="J508" t="s">
        <v>3</v>
      </c>
      <c r="K508" cm="1">
        <f t="array" ref="K508">INDEX(BHV!D$58:D$952,M508)</f>
        <v>9</v>
      </c>
      <c r="L508" t="str" cm="1">
        <f t="array" ref="L508">INDEX(BHV!B$58:B$952,M508)</f>
        <v>RNT</v>
      </c>
      <c r="M508">
        <f>VLOOKUP(H508+1,BHV!U$58:V$110,2,FALSE)</f>
        <v>43</v>
      </c>
      <c r="N508" t="str" cm="1">
        <f t="array" ref="N508">INDEX(BHV!E$58:E$952,M508)</f>
        <v>TSV HD-Wieblingen</v>
      </c>
    </row>
    <row r="509" spans="2:14" x14ac:dyDescent="0.35">
      <c r="B509">
        <f t="shared" si="91"/>
        <v>39</v>
      </c>
      <c r="C509">
        <f t="shared" si="86"/>
        <v>38</v>
      </c>
      <c r="D509" t="str" cm="1">
        <f t="array" ref="D509">IF(C509=0,INDEX(D$320:D$400,B$340+1-B509),INDEX(I$471:I$1002,C509))</f>
        <v>LL RNT Platz 9</v>
      </c>
      <c r="E509" t="str" cm="1">
        <f t="array" ref="E509">IF(C509=0,INDEX(E$320:E$400,B$340+1-B509),INDEX(N$471:N$1002,C509))</f>
        <v>TSV HD-Wieblingen</v>
      </c>
      <c r="F509">
        <f t="shared" si="87"/>
        <v>40</v>
      </c>
      <c r="G509">
        <v>0</v>
      </c>
      <c r="H509">
        <f t="shared" si="92"/>
        <v>39</v>
      </c>
      <c r="I509" t="str">
        <f t="shared" si="95"/>
        <v>LL AES Platz 8</v>
      </c>
      <c r="J509" t="s">
        <v>3</v>
      </c>
      <c r="K509" cm="1">
        <f t="array" ref="K509">INDEX(BHV!D$58:D$952,M509)</f>
        <v>8</v>
      </c>
      <c r="L509" t="str" cm="1">
        <f t="array" ref="L509">INDEX(BHV!B$58:B$952,M509)</f>
        <v>AES</v>
      </c>
      <c r="M509">
        <f>VLOOKUP(H509+1,BHV!U$58:V$110,2,FALSE)</f>
        <v>32</v>
      </c>
      <c r="N509" t="str" cm="1">
        <f t="array" ref="N509">INDEX(BHV!E$58:E$952,M509)</f>
        <v>HC Neuenbürg 2000</v>
      </c>
    </row>
    <row r="510" spans="2:14" x14ac:dyDescent="0.35">
      <c r="B510">
        <f t="shared" si="91"/>
        <v>40</v>
      </c>
      <c r="C510">
        <f t="shared" si="86"/>
        <v>39</v>
      </c>
      <c r="D510" t="str" cm="1">
        <f t="array" ref="D510">IF(C510=0,INDEX(D$320:D$400,B$340+1-B510),INDEX(I$471:I$1002,C510))</f>
        <v>LL AES Platz 8</v>
      </c>
      <c r="E510" t="str" cm="1">
        <f t="array" ref="E510">IF(C510=0,INDEX(E$320:E$400,B$340+1-B510),INDEX(N$471:N$1002,C510))</f>
        <v>HC Neuenbürg 2000</v>
      </c>
      <c r="F510">
        <f t="shared" si="87"/>
        <v>41</v>
      </c>
      <c r="G510">
        <v>0</v>
      </c>
      <c r="H510">
        <f t="shared" si="92"/>
        <v>40</v>
      </c>
      <c r="I510" t="str">
        <f t="shared" si="95"/>
        <v>LL RNT Platz 10</v>
      </c>
      <c r="J510" t="s">
        <v>3</v>
      </c>
      <c r="K510" cm="1">
        <f t="array" ref="K510">INDEX(BHV!D$58:D$952,M510)</f>
        <v>10</v>
      </c>
      <c r="L510" t="str" cm="1">
        <f t="array" ref="L510">INDEX(BHV!B$58:B$952,M510)</f>
        <v>RNT</v>
      </c>
      <c r="M510">
        <f>VLOOKUP(H510+1,BHV!U$58:V$110,2,FALSE)</f>
        <v>44</v>
      </c>
      <c r="N510" t="str" cm="1">
        <f t="array" ref="N510">INDEX(BHV!E$58:E$952,M510)</f>
        <v>SG Walldorf Astoria 1902 Frauen</v>
      </c>
    </row>
    <row r="511" spans="2:14" x14ac:dyDescent="0.35">
      <c r="B511">
        <f t="shared" si="91"/>
        <v>41</v>
      </c>
      <c r="C511">
        <f t="shared" si="86"/>
        <v>40</v>
      </c>
      <c r="D511" t="str" cm="1">
        <f t="array" ref="D511">IF(C511=0,INDEX(D$320:D$400,B$340+1-B511),INDEX(I$471:I$1002,C511))</f>
        <v>LL RNT Platz 10</v>
      </c>
      <c r="E511" t="str" cm="1">
        <f t="array" ref="E511">IF(C511=0,INDEX(E$320:E$400,B$340+1-B511),INDEX(N$471:N$1002,C511))</f>
        <v>SG Walldorf Astoria 1902 Frauen</v>
      </c>
      <c r="F511">
        <f t="shared" si="87"/>
        <v>42</v>
      </c>
      <c r="G511">
        <v>0</v>
      </c>
      <c r="H511">
        <f t="shared" si="92"/>
        <v>41</v>
      </c>
      <c r="I511" t="str">
        <f t="shared" si="95"/>
        <v>LL AES Platz 9</v>
      </c>
      <c r="J511" t="s">
        <v>3</v>
      </c>
      <c r="K511" cm="1">
        <f t="array" ref="K511">INDEX(BHV!D$58:D$952,M511)</f>
        <v>9</v>
      </c>
      <c r="L511" t="str" cm="1">
        <f t="array" ref="L511">INDEX(BHV!B$58:B$952,M511)</f>
        <v>AES</v>
      </c>
      <c r="M511">
        <f>VLOOKUP(H511+1,BHV!U$58:V$110,2,FALSE)</f>
        <v>33</v>
      </c>
      <c r="N511" t="str" cm="1">
        <f t="array" ref="N511">INDEX(BHV!E$58:E$952,M511)</f>
        <v>SV Langensteinbach</v>
      </c>
    </row>
    <row r="512" spans="2:14" x14ac:dyDescent="0.35">
      <c r="B512">
        <f t="shared" si="91"/>
        <v>42</v>
      </c>
      <c r="C512">
        <f t="shared" si="86"/>
        <v>41</v>
      </c>
      <c r="D512" t="str" cm="1">
        <f t="array" ref="D512">IF(C512=0,INDEX(D$320:D$400,B$340+1-B512),INDEX(I$471:I$1002,C512))</f>
        <v>LL AES Platz 9</v>
      </c>
      <c r="E512" t="str" cm="1">
        <f t="array" ref="E512">IF(C512=0,INDEX(E$320:E$400,B$340+1-B512),INDEX(N$471:N$1002,C512))</f>
        <v>SV Langensteinbach</v>
      </c>
      <c r="F512">
        <f t="shared" si="87"/>
        <v>43</v>
      </c>
      <c r="G512">
        <v>0</v>
      </c>
      <c r="H512">
        <f t="shared" si="92"/>
        <v>42</v>
      </c>
      <c r="I512" t="str">
        <f t="shared" si="95"/>
        <v>LL AES Platz 10</v>
      </c>
      <c r="J512" t="s">
        <v>3</v>
      </c>
      <c r="K512" cm="1">
        <f t="array" ref="K512">INDEX(BHV!D$58:D$952,M512)</f>
        <v>10</v>
      </c>
      <c r="L512" t="str" cm="1">
        <f t="array" ref="L512">INDEX(BHV!B$58:B$952,M512)</f>
        <v>AES</v>
      </c>
      <c r="M512">
        <f>VLOOKUP(H512+1,BHV!U$58:V$110,2,FALSE)</f>
        <v>34</v>
      </c>
      <c r="N512" t="str" cm="1">
        <f t="array" ref="N512">INDEX(BHV!E$58:E$952,M512)</f>
        <v>SG Niefern/Mühlacker</v>
      </c>
    </row>
    <row r="513" spans="2:14" x14ac:dyDescent="0.35">
      <c r="B513">
        <f t="shared" si="91"/>
        <v>43</v>
      </c>
      <c r="C513">
        <f t="shared" si="86"/>
        <v>42</v>
      </c>
      <c r="D513" t="str" cm="1">
        <f t="array" ref="D513">IF(C513=0,INDEX(D$320:D$400,B$340+1-B513),INDEX(I$471:I$1002,C513))</f>
        <v>LL AES Platz 10</v>
      </c>
      <c r="E513" t="str" cm="1">
        <f t="array" ref="E513">IF(C513=0,INDEX(E$320:E$400,B$340+1-B513),INDEX(N$471:N$1002,C513))</f>
        <v>SG Niefern/Mühlacker</v>
      </c>
      <c r="F513">
        <f t="shared" si="87"/>
        <v>44</v>
      </c>
      <c r="G513">
        <v>0</v>
      </c>
      <c r="H513">
        <f t="shared" si="92"/>
        <v>43</v>
      </c>
      <c r="I513" t="s">
        <v>578</v>
      </c>
      <c r="M513">
        <f>VLOOKUP(H513+1,BHV!U$58:V$110,2,FALSE)</f>
        <v>24</v>
      </c>
      <c r="N513" t="str" cm="1">
        <f t="array" ref="N513">INDEX(BHV!E$58:E$952,M513)</f>
        <v>Turnerschaft Mühlburg</v>
      </c>
    </row>
    <row r="514" spans="2:14" x14ac:dyDescent="0.35">
      <c r="B514">
        <f t="shared" si="91"/>
        <v>44</v>
      </c>
      <c r="C514">
        <f t="shared" si="86"/>
        <v>43</v>
      </c>
      <c r="D514" t="str" cm="1">
        <f t="array" ref="D514">IF(C514=0,INDEX(D$320:D$400,B$340+1-B514),INDEX(I$471:I$1002,C514))</f>
        <v>VL Platz 12</v>
      </c>
      <c r="E514" t="str" cm="1">
        <f t="array" ref="E514">IF(C514=0,INDEX(E$320:E$400,B$340+1-B514),INDEX(N$471:N$1002,C514))</f>
        <v>Turnerschaft Mühlburg</v>
      </c>
      <c r="F514">
        <f t="shared" si="87"/>
        <v>45</v>
      </c>
      <c r="G514">
        <v>0</v>
      </c>
      <c r="H514">
        <f t="shared" si="92"/>
        <v>44</v>
      </c>
      <c r="I514" t="e">
        <f t="shared" si="95"/>
        <v>#N/A</v>
      </c>
      <c r="J514" t="s">
        <v>3</v>
      </c>
      <c r="K514" t="e" cm="1">
        <f t="array" ref="K514">INDEX(BHV!D$58:D$952,M514)</f>
        <v>#N/A</v>
      </c>
      <c r="L514" t="e" cm="1">
        <f t="array" ref="L514">INDEX(BHV!B$58:B$952,M514)</f>
        <v>#N/A</v>
      </c>
      <c r="M514" t="e">
        <f>VLOOKUP(H514+1,BHV!U$58:V$110,2,FALSE)</f>
        <v>#N/A</v>
      </c>
      <c r="N514" t="e" cm="1">
        <f t="array" ref="N514">INDEX(BHV!E$58:E$952,M514)</f>
        <v>#N/A</v>
      </c>
    </row>
    <row r="525" spans="2:14" x14ac:dyDescent="0.35">
      <c r="B525" s="1" t="s">
        <v>55</v>
      </c>
      <c r="C525" s="1" t="s">
        <v>12</v>
      </c>
      <c r="F525" s="1" t="s">
        <v>6</v>
      </c>
      <c r="G525" s="1" t="s">
        <v>11</v>
      </c>
      <c r="H525" s="1" t="s">
        <v>401</v>
      </c>
      <c r="M525" t="s">
        <v>200</v>
      </c>
      <c r="N525" t="s">
        <v>204</v>
      </c>
    </row>
    <row r="526" spans="2:14" x14ac:dyDescent="0.35">
      <c r="B526">
        <v>1</v>
      </c>
      <c r="C526">
        <f t="shared" ref="C526:C564" si="96">IF(B526&lt;=B$341,0,VLOOKUP(B526,$F$526:$H$564,3,FALSE))</f>
        <v>1</v>
      </c>
      <c r="D526" t="str" cm="1">
        <f t="array" ref="D526">IF(C526=0,INDEX(D$323:D$400,B$341+1-B526),INDEX(I$526:I$1002,C526))</f>
        <v>OL Platz 2</v>
      </c>
      <c r="E526" t="str" cm="1">
        <f t="array" ref="E526">IF(C526=0,INDEX(E$323:E$400,B$341+1-B526),INDEX(N$526:N$1002,C526))</f>
        <v>TuS Ottenheim</v>
      </c>
      <c r="F526">
        <f t="shared" ref="F526:F564" si="97">H526+G526+B$341</f>
        <v>1</v>
      </c>
      <c r="G526">
        <v>0</v>
      </c>
      <c r="H526">
        <v>1</v>
      </c>
      <c r="I526" t="str">
        <f>J526&amp;" Platz "&amp;K526</f>
        <v>OL Platz 2</v>
      </c>
      <c r="J526" t="s">
        <v>197</v>
      </c>
      <c r="K526">
        <v>2</v>
      </c>
      <c r="M526">
        <f>VLOOKUP(H526+1,SHV!U$51:V$90,2,FALSE)</f>
        <v>2</v>
      </c>
      <c r="N526" t="str" cm="1">
        <f t="array" ref="N526">INDEX(SHV!E$51:E$945,M526)</f>
        <v>TuS Ottenheim</v>
      </c>
    </row>
    <row r="527" spans="2:14" x14ac:dyDescent="0.35">
      <c r="B527">
        <f t="shared" ref="B527:B564" si="98">1+B526</f>
        <v>2</v>
      </c>
      <c r="C527">
        <f t="shared" si="96"/>
        <v>2</v>
      </c>
      <c r="D527" t="str" cm="1">
        <f t="array" ref="D527">IF(C527=0,INDEX(D$323:D$400,B$341+1-B527),INDEX(I$526:I$1002,C527))</f>
        <v>OL Platz 3</v>
      </c>
      <c r="E527" t="str" cm="1">
        <f t="array" ref="E527">IF(C527=0,INDEX(E$323:E$400,B$341+1-B527),INDEX(N$526:N$1002,C527))</f>
        <v>SG Dornstetten</v>
      </c>
      <c r="F527">
        <f t="shared" si="97"/>
        <v>2</v>
      </c>
      <c r="G527">
        <v>0</v>
      </c>
      <c r="H527">
        <f t="shared" ref="H527:H564" si="99">1+H526</f>
        <v>2</v>
      </c>
      <c r="I527" t="str">
        <f t="shared" ref="I527:I535" si="100">J527&amp;" Platz "&amp;K527</f>
        <v>OL Platz 3</v>
      </c>
      <c r="J527" t="s">
        <v>197</v>
      </c>
      <c r="K527">
        <v>3</v>
      </c>
      <c r="M527">
        <f>VLOOKUP(H527+1,SHV!U$51:V$90,2,FALSE)</f>
        <v>3</v>
      </c>
      <c r="N527" t="str" cm="1">
        <f t="array" ref="N527">INDEX(SHV!E$51:E$945,M527)</f>
        <v>SG Dornstetten</v>
      </c>
    </row>
    <row r="528" spans="2:14" x14ac:dyDescent="0.35">
      <c r="B528">
        <f t="shared" si="98"/>
        <v>3</v>
      </c>
      <c r="C528">
        <f t="shared" si="96"/>
        <v>3</v>
      </c>
      <c r="D528" t="str" cm="1">
        <f t="array" ref="D528">IF(C528=0,INDEX(D$323:D$400,B$341+1-B528),INDEX(I$526:I$1002,C528))</f>
        <v>OL Platz 4</v>
      </c>
      <c r="E528" t="str" cm="1">
        <f t="array" ref="E528">IF(C528=0,INDEX(E$323:E$400,B$341+1-B528),INDEX(N$526:N$1002,C528))</f>
        <v>HB Kinzigtal</v>
      </c>
      <c r="F528">
        <f t="shared" si="97"/>
        <v>3</v>
      </c>
      <c r="G528">
        <v>0</v>
      </c>
      <c r="H528">
        <f t="shared" si="99"/>
        <v>3</v>
      </c>
      <c r="I528" t="str">
        <f t="shared" si="100"/>
        <v>OL Platz 4</v>
      </c>
      <c r="J528" t="s">
        <v>197</v>
      </c>
      <c r="K528">
        <v>4</v>
      </c>
      <c r="M528">
        <f>VLOOKUP(H528+1,SHV!U$51:V$90,2,FALSE)</f>
        <v>4</v>
      </c>
      <c r="N528" t="str" cm="1">
        <f t="array" ref="N528">INDEX(SHV!E$51:E$945,M528)</f>
        <v>HB Kinzigtal</v>
      </c>
    </row>
    <row r="529" spans="2:14" x14ac:dyDescent="0.35">
      <c r="B529">
        <f t="shared" si="98"/>
        <v>4</v>
      </c>
      <c r="C529">
        <f t="shared" si="96"/>
        <v>4</v>
      </c>
      <c r="D529" t="str" cm="1">
        <f t="array" ref="D529">IF(C529=0,INDEX(D$323:D$400,B$341+1-B529),INDEX(I$526:I$1002,C529))</f>
        <v>OL Platz 5</v>
      </c>
      <c r="E529" t="str" cm="1">
        <f t="array" ref="E529">IF(C529=0,INDEX(E$323:E$400,B$341+1-B529),INDEX(N$526:N$1002,C529))</f>
        <v>SG Muggensturm/Kuppenheim</v>
      </c>
      <c r="F529">
        <f t="shared" si="97"/>
        <v>4</v>
      </c>
      <c r="G529">
        <v>0</v>
      </c>
      <c r="H529">
        <f t="shared" si="99"/>
        <v>4</v>
      </c>
      <c r="I529" t="str">
        <f t="shared" si="100"/>
        <v>OL Platz 5</v>
      </c>
      <c r="J529" t="s">
        <v>197</v>
      </c>
      <c r="K529">
        <v>5</v>
      </c>
      <c r="M529">
        <f>VLOOKUP(H529+1,SHV!U$51:V$90,2,FALSE)</f>
        <v>5</v>
      </c>
      <c r="N529" t="str" cm="1">
        <f t="array" ref="N529">INDEX(SHV!E$51:E$945,M529)</f>
        <v>SG Muggensturm/Kuppenheim</v>
      </c>
    </row>
    <row r="530" spans="2:14" x14ac:dyDescent="0.35">
      <c r="B530">
        <f t="shared" si="98"/>
        <v>5</v>
      </c>
      <c r="C530">
        <f t="shared" si="96"/>
        <v>5</v>
      </c>
      <c r="D530" t="str" cm="1">
        <f t="array" ref="D530">IF(C530=0,INDEX(D$323:D$400,B$341+1-B530),INDEX(I$526:I$1002,C530))</f>
        <v>OL Platz 6</v>
      </c>
      <c r="E530" t="str" cm="1">
        <f t="array" ref="E530">IF(C530=0,INDEX(E$323:E$400,B$341+1-B530),INDEX(N$526:N$1002,C530))</f>
        <v>TuS Helmlingen</v>
      </c>
      <c r="F530">
        <f t="shared" si="97"/>
        <v>5</v>
      </c>
      <c r="G530">
        <v>0</v>
      </c>
      <c r="H530">
        <f t="shared" si="99"/>
        <v>5</v>
      </c>
      <c r="I530" t="str">
        <f t="shared" si="100"/>
        <v>OL Platz 6</v>
      </c>
      <c r="J530" t="s">
        <v>197</v>
      </c>
      <c r="K530">
        <v>6</v>
      </c>
      <c r="M530">
        <f>VLOOKUP(H530+1,SHV!U$51:V$90,2,FALSE)</f>
        <v>6</v>
      </c>
      <c r="N530" t="str" cm="1">
        <f t="array" ref="N530">INDEX(SHV!E$51:E$945,M530)</f>
        <v>TuS Helmlingen</v>
      </c>
    </row>
    <row r="531" spans="2:14" x14ac:dyDescent="0.35">
      <c r="B531">
        <f t="shared" si="98"/>
        <v>6</v>
      </c>
      <c r="C531">
        <f t="shared" si="96"/>
        <v>6</v>
      </c>
      <c r="D531" t="str" cm="1">
        <f t="array" ref="D531">IF(C531=0,INDEX(D$323:D$400,B$341+1-B531),INDEX(I$526:I$1002,C531))</f>
        <v>OL Platz 7</v>
      </c>
      <c r="E531" t="str" cm="1">
        <f t="array" ref="E531">IF(C531=0,INDEX(E$323:E$400,B$341+1-B531),INDEX(N$526:N$1002,C531))</f>
        <v>SG Maulburg/Steinen</v>
      </c>
      <c r="F531">
        <f t="shared" si="97"/>
        <v>6</v>
      </c>
      <c r="G531">
        <v>0</v>
      </c>
      <c r="H531">
        <f t="shared" si="99"/>
        <v>6</v>
      </c>
      <c r="I531" t="str">
        <f t="shared" si="100"/>
        <v>OL Platz 7</v>
      </c>
      <c r="J531" t="s">
        <v>197</v>
      </c>
      <c r="K531">
        <v>7</v>
      </c>
      <c r="M531">
        <f>VLOOKUP(H531+1,SHV!U$51:V$90,2,FALSE)</f>
        <v>7</v>
      </c>
      <c r="N531" t="str" cm="1">
        <f t="array" ref="N531">INDEX(SHV!E$51:E$945,M531)</f>
        <v>SG Maulburg/Steinen</v>
      </c>
    </row>
    <row r="532" spans="2:14" x14ac:dyDescent="0.35">
      <c r="B532">
        <f t="shared" si="98"/>
        <v>7</v>
      </c>
      <c r="C532">
        <f t="shared" si="96"/>
        <v>7</v>
      </c>
      <c r="D532" t="str" cm="1">
        <f t="array" ref="D532">IF(C532=0,INDEX(D$323:D$400,B$341+1-B532),INDEX(I$526:I$1002,C532))</f>
        <v>OL Platz 8</v>
      </c>
      <c r="E532" t="str" cm="1">
        <f t="array" ref="E532">IF(C532=0,INDEX(E$323:E$400,B$341+1-B532),INDEX(N$526:N$1002,C532))</f>
        <v>TuS Steißlingen 2</v>
      </c>
      <c r="F532">
        <f t="shared" si="97"/>
        <v>7</v>
      </c>
      <c r="G532">
        <v>0</v>
      </c>
      <c r="H532">
        <f t="shared" si="99"/>
        <v>7</v>
      </c>
      <c r="I532" t="str">
        <f t="shared" si="100"/>
        <v>OL Platz 8</v>
      </c>
      <c r="J532" t="s">
        <v>197</v>
      </c>
      <c r="K532">
        <v>8</v>
      </c>
      <c r="M532">
        <f>VLOOKUP(H532+1,SHV!U$51:V$90,2,FALSE)</f>
        <v>8</v>
      </c>
      <c r="N532" t="str" cm="1">
        <f t="array" ref="N532">INDEX(SHV!E$51:E$945,M532)</f>
        <v>TuS Steißlingen 2</v>
      </c>
    </row>
    <row r="533" spans="2:14" x14ac:dyDescent="0.35">
      <c r="B533">
        <f t="shared" si="98"/>
        <v>8</v>
      </c>
      <c r="C533">
        <f t="shared" si="96"/>
        <v>8</v>
      </c>
      <c r="D533" t="str" cm="1">
        <f t="array" ref="D533">IF(C533=0,INDEX(D$323:D$400,B$341+1-B533),INDEX(I$526:I$1002,C533))</f>
        <v>OL Platz 9</v>
      </c>
      <c r="E533" t="str" cm="1">
        <f t="array" ref="E533">IF(C533=0,INDEX(E$323:E$400,B$341+1-B533),INDEX(N$526:N$1002,C533))</f>
        <v>SV Allensbach 2</v>
      </c>
      <c r="F533">
        <f t="shared" si="97"/>
        <v>8</v>
      </c>
      <c r="G533">
        <v>0</v>
      </c>
      <c r="H533">
        <f t="shared" si="99"/>
        <v>8</v>
      </c>
      <c r="I533" t="str">
        <f t="shared" si="100"/>
        <v>OL Platz 9</v>
      </c>
      <c r="J533" t="s">
        <v>197</v>
      </c>
      <c r="K533">
        <v>9</v>
      </c>
      <c r="M533">
        <f>VLOOKUP(H533+1,SHV!U$51:V$90,2,FALSE)</f>
        <v>9</v>
      </c>
      <c r="N533" t="str" cm="1">
        <f t="array" ref="N533">INDEX(SHV!E$51:E$945,M533)</f>
        <v>SV Allensbach 2</v>
      </c>
    </row>
    <row r="534" spans="2:14" x14ac:dyDescent="0.35">
      <c r="B534">
        <f t="shared" si="98"/>
        <v>9</v>
      </c>
      <c r="C534">
        <f t="shared" si="96"/>
        <v>12</v>
      </c>
      <c r="D534" t="str" cm="1">
        <f t="array" ref="D534">IF(C534=0,INDEX(D$323:D$400,B$341+1-B534),INDEX(I$526:I$1002,C534))</f>
        <v>LL Platz 1 Rang 1</v>
      </c>
      <c r="E534" t="str" cm="1">
        <f t="array" ref="E534">IF(C534=0,INDEX(E$323:E$400,B$341+1-B534),INDEX(N$526:N$1002,C534))</f>
        <v>SG TG Altdorf/DJK Ettenheim</v>
      </c>
      <c r="F534">
        <f t="shared" si="97"/>
        <v>11</v>
      </c>
      <c r="G534">
        <v>2</v>
      </c>
      <c r="H534">
        <f t="shared" si="99"/>
        <v>9</v>
      </c>
      <c r="I534" t="str">
        <f t="shared" si="100"/>
        <v>OL Platz 10</v>
      </c>
      <c r="J534" t="s">
        <v>197</v>
      </c>
      <c r="K534">
        <v>10</v>
      </c>
      <c r="M534">
        <f>VLOOKUP(H534+1,SHV!U$51:V$90,2,FALSE)</f>
        <v>10</v>
      </c>
      <c r="N534" t="str" cm="1">
        <f t="array" ref="N534">INDEX(SHV!E$51:E$945,M534)</f>
        <v>SG Kappelwindeck/Steinbach 2</v>
      </c>
    </row>
    <row r="535" spans="2:14" x14ac:dyDescent="0.35">
      <c r="B535">
        <f t="shared" si="98"/>
        <v>10</v>
      </c>
      <c r="C535">
        <f t="shared" si="96"/>
        <v>13</v>
      </c>
      <c r="D535" t="str" cm="1">
        <f t="array" ref="D535">IF(C535=0,INDEX(D$323:D$400,B$341+1-B535),INDEX(I$526:I$1002,C535))</f>
        <v>LL Platz 1 Rang 2</v>
      </c>
      <c r="E535" t="str" cm="1">
        <f t="array" ref="E535">IF(C535=0,INDEX(E$323:E$400,B$341+1-B535),INDEX(N$526:N$1002,C535))</f>
        <v>BSV Phönix Sinzheim</v>
      </c>
      <c r="F535">
        <f t="shared" si="97"/>
        <v>12</v>
      </c>
      <c r="G535">
        <v>2</v>
      </c>
      <c r="H535">
        <f t="shared" si="99"/>
        <v>10</v>
      </c>
      <c r="I535" t="str">
        <f t="shared" si="100"/>
        <v>OL Platz 11</v>
      </c>
      <c r="J535" t="s">
        <v>197</v>
      </c>
      <c r="K535">
        <v>11</v>
      </c>
      <c r="M535">
        <f>VLOOKUP(H535+1,SHV!U$51:V$90,2,FALSE)</f>
        <v>11</v>
      </c>
      <c r="N535" t="str" cm="1">
        <f t="array" ref="N535">INDEX(SHV!E$51:E$945,M535)</f>
        <v>HSG Dreiland</v>
      </c>
    </row>
    <row r="536" spans="2:14" x14ac:dyDescent="0.35">
      <c r="B536">
        <f t="shared" si="98"/>
        <v>11</v>
      </c>
      <c r="C536">
        <f t="shared" si="96"/>
        <v>9</v>
      </c>
      <c r="D536" t="str" cm="1">
        <f t="array" ref="D536">IF(C536=0,INDEX(D$323:D$400,B$341+1-B536),INDEX(I$526:I$1002,C536))</f>
        <v>OL Platz 10</v>
      </c>
      <c r="E536" t="str" cm="1">
        <f t="array" ref="E536">IF(C536=0,INDEX(E$323:E$400,B$341+1-B536),INDEX(N$526:N$1002,C536))</f>
        <v>SG Kappelwindeck/Steinbach 2</v>
      </c>
      <c r="F536">
        <f t="shared" si="97"/>
        <v>13</v>
      </c>
      <c r="G536">
        <v>2</v>
      </c>
      <c r="H536">
        <f t="shared" si="99"/>
        <v>11</v>
      </c>
      <c r="I536" t="str">
        <f>J536&amp;" Platz "&amp;K536</f>
        <v>OL Platz 12</v>
      </c>
      <c r="J536" t="s">
        <v>197</v>
      </c>
      <c r="K536">
        <v>12</v>
      </c>
      <c r="M536">
        <f>VLOOKUP(H536+1,SHV!U$51:V$90,2,FALSE)</f>
        <v>12</v>
      </c>
      <c r="N536" t="str" cm="1">
        <f t="array" ref="N536">INDEX(SHV!E$51:E$945,M536)</f>
        <v>SG Gutach/Wolfach</v>
      </c>
    </row>
    <row r="537" spans="2:14" x14ac:dyDescent="0.35">
      <c r="B537">
        <f t="shared" si="98"/>
        <v>12</v>
      </c>
      <c r="C537">
        <f t="shared" si="96"/>
        <v>10</v>
      </c>
      <c r="D537" t="str" cm="1">
        <f t="array" ref="D537">IF(C537=0,INDEX(D$323:D$400,B$341+1-B537),INDEX(I$526:I$1002,C537))</f>
        <v>OL Platz 11</v>
      </c>
      <c r="E537" t="str" cm="1">
        <f t="array" ref="E537">IF(C537=0,INDEX(E$323:E$400,B$341+1-B537),INDEX(N$526:N$1002,C537))</f>
        <v>HSG Dreiland</v>
      </c>
      <c r="F537">
        <f t="shared" si="97"/>
        <v>9</v>
      </c>
      <c r="G537">
        <v>-3</v>
      </c>
      <c r="H537">
        <f t="shared" si="99"/>
        <v>12</v>
      </c>
      <c r="I537" t="str">
        <f t="shared" ref="I537:I564" si="101">J537&amp;" Platz "&amp;K537&amp;" Rang "&amp;L537</f>
        <v>LL Platz 1 Rang 1</v>
      </c>
      <c r="J537" t="s">
        <v>3</v>
      </c>
      <c r="K537">
        <v>1</v>
      </c>
      <c r="L537">
        <v>1</v>
      </c>
      <c r="M537">
        <f>VLOOKUP(H537+1,SHV!U$51:V$90,2,FALSE)</f>
        <v>25</v>
      </c>
      <c r="N537" t="str" cm="1">
        <f t="array" ref="N537">INDEX(SHV!E$51:E$945,M537)</f>
        <v>SG TG Altdorf/DJK Ettenheim</v>
      </c>
    </row>
    <row r="538" spans="2:14" x14ac:dyDescent="0.35">
      <c r="B538">
        <f t="shared" si="98"/>
        <v>13</v>
      </c>
      <c r="C538">
        <f t="shared" si="96"/>
        <v>11</v>
      </c>
      <c r="D538" t="str" cm="1">
        <f t="array" ref="D538">IF(C538=0,INDEX(D$323:D$400,B$341+1-B538),INDEX(I$526:I$1002,C538))</f>
        <v>OL Platz 12</v>
      </c>
      <c r="E538" t="str" cm="1">
        <f t="array" ref="E538">IF(C538=0,INDEX(E$323:E$400,B$341+1-B538),INDEX(N$526:N$1002,C538))</f>
        <v>SG Gutach/Wolfach</v>
      </c>
      <c r="F538">
        <f t="shared" si="97"/>
        <v>10</v>
      </c>
      <c r="G538">
        <v>-3</v>
      </c>
      <c r="H538">
        <f t="shared" si="99"/>
        <v>13</v>
      </c>
      <c r="I538" t="str">
        <f t="shared" si="101"/>
        <v>LL Platz 1 Rang 2</v>
      </c>
      <c r="J538" t="s">
        <v>3</v>
      </c>
      <c r="K538">
        <v>1</v>
      </c>
      <c r="L538">
        <v>2</v>
      </c>
      <c r="M538">
        <f>VLOOKUP(H538+1,SHV!U$51:V$90,2,FALSE)</f>
        <v>13</v>
      </c>
      <c r="N538" t="str" cm="1">
        <f t="array" ref="N538">INDEX(SHV!E$51:E$945,M538)</f>
        <v>BSV Phönix Sinzheim</v>
      </c>
    </row>
    <row r="539" spans="2:14" x14ac:dyDescent="0.35">
      <c r="B539">
        <f t="shared" si="98"/>
        <v>14</v>
      </c>
      <c r="C539">
        <f t="shared" si="96"/>
        <v>14</v>
      </c>
      <c r="D539" t="str" cm="1">
        <f t="array" ref="D539">IF(C539=0,INDEX(D$323:D$400,B$341+1-B539),INDEX(I$526:I$1002,C539))</f>
        <v>LL Platz 2 Rang 1</v>
      </c>
      <c r="E539" t="str" cm="1">
        <f t="array" ref="E539">IF(C539=0,INDEX(E$323:E$400,B$341+1-B539),INDEX(N$526:N$1002,C539))</f>
        <v>HSG Mimmenhausen/Mühlhofen</v>
      </c>
      <c r="F539">
        <f t="shared" si="97"/>
        <v>14</v>
      </c>
      <c r="G539">
        <v>0</v>
      </c>
      <c r="H539">
        <f t="shared" si="99"/>
        <v>14</v>
      </c>
      <c r="I539" t="str">
        <f t="shared" si="101"/>
        <v>LL Platz 2 Rang 1</v>
      </c>
      <c r="J539" t="s">
        <v>3</v>
      </c>
      <c r="K539">
        <v>2</v>
      </c>
      <c r="L539">
        <v>1</v>
      </c>
      <c r="M539">
        <f>VLOOKUP(H539+1,SHV!U$51:V$90,2,FALSE)</f>
        <v>26</v>
      </c>
      <c r="N539" t="str" cm="1">
        <f t="array" ref="N539">INDEX(SHV!E$51:E$945,M539)</f>
        <v>HSG Mimmenhausen/Mühlhofen</v>
      </c>
    </row>
    <row r="540" spans="2:14" x14ac:dyDescent="0.35">
      <c r="B540">
        <f t="shared" si="98"/>
        <v>15</v>
      </c>
      <c r="C540">
        <f t="shared" si="96"/>
        <v>15</v>
      </c>
      <c r="D540" t="str" cm="1">
        <f t="array" ref="D540">IF(C540=0,INDEX(D$323:D$400,B$341+1-B540),INDEX(I$526:I$1002,C540))</f>
        <v>LL Platz 2 Rang 2</v>
      </c>
      <c r="E540" t="str" cm="1">
        <f t="array" ref="E540">IF(C540=0,INDEX(E$323:E$400,B$341+1-B540),INDEX(N$526:N$1002,C540))</f>
        <v>SG Ottersweier/Großweier</v>
      </c>
      <c r="F540">
        <f t="shared" si="97"/>
        <v>15</v>
      </c>
      <c r="G540">
        <v>0</v>
      </c>
      <c r="H540">
        <f t="shared" si="99"/>
        <v>15</v>
      </c>
      <c r="I540" t="str">
        <f t="shared" si="101"/>
        <v>LL Platz 2 Rang 2</v>
      </c>
      <c r="J540" t="s">
        <v>3</v>
      </c>
      <c r="K540">
        <v>2</v>
      </c>
      <c r="L540">
        <v>2</v>
      </c>
      <c r="M540">
        <f>VLOOKUP(H540+1,SHV!U$51:V$90,2,FALSE)</f>
        <v>14</v>
      </c>
      <c r="N540" t="str" cm="1">
        <f t="array" ref="N540">INDEX(SHV!E$51:E$945,M540)</f>
        <v>SG Ottersweier/Großweier</v>
      </c>
    </row>
    <row r="541" spans="2:14" x14ac:dyDescent="0.35">
      <c r="B541">
        <f t="shared" si="98"/>
        <v>16</v>
      </c>
      <c r="C541">
        <f t="shared" si="96"/>
        <v>16</v>
      </c>
      <c r="D541" t="str" cm="1">
        <f t="array" ref="D541">IF(C541=0,INDEX(D$323:D$400,B$341+1-B541),INDEX(I$526:I$1002,C541))</f>
        <v>LL Platz 3 Rang 1</v>
      </c>
      <c r="E541" t="str" cm="1">
        <f t="array" ref="E541">IF(C541=0,INDEX(E$323:E$400,B$341+1-B541),INDEX(N$526:N$1002,C541))</f>
        <v>SF Eintr. Freiburg</v>
      </c>
      <c r="F541">
        <f t="shared" si="97"/>
        <v>16</v>
      </c>
      <c r="G541">
        <v>0</v>
      </c>
      <c r="H541">
        <f t="shared" si="99"/>
        <v>16</v>
      </c>
      <c r="I541" t="str">
        <f t="shared" si="101"/>
        <v>LL Platz 3 Rang 1</v>
      </c>
      <c r="J541" t="s">
        <v>3</v>
      </c>
      <c r="K541">
        <v>3</v>
      </c>
      <c r="L541">
        <v>1</v>
      </c>
      <c r="M541">
        <f>VLOOKUP(H541+1,SHV!U$51:V$90,2,FALSE)</f>
        <v>27</v>
      </c>
      <c r="N541" t="str" cm="1">
        <f t="array" ref="N541">INDEX(SHV!E$51:E$945,M541)</f>
        <v>SF Eintr. Freiburg</v>
      </c>
    </row>
    <row r="542" spans="2:14" x14ac:dyDescent="0.35">
      <c r="B542">
        <f t="shared" si="98"/>
        <v>17</v>
      </c>
      <c r="C542">
        <f t="shared" si="96"/>
        <v>17</v>
      </c>
      <c r="D542" t="str" cm="1">
        <f t="array" ref="D542">IF(C542=0,INDEX(D$323:D$400,B$341+1-B542),INDEX(I$526:I$1002,C542))</f>
        <v>LL Platz 3 Rang 2</v>
      </c>
      <c r="E542" t="str" cm="1">
        <f t="array" ref="E542">IF(C542=0,INDEX(E$323:E$400,B$341+1-B542),INDEX(N$526:N$1002,C542))</f>
        <v>SG Scutro</v>
      </c>
      <c r="F542">
        <f t="shared" si="97"/>
        <v>17</v>
      </c>
      <c r="G542">
        <v>0</v>
      </c>
      <c r="H542">
        <f t="shared" si="99"/>
        <v>17</v>
      </c>
      <c r="I542" t="str">
        <f t="shared" si="101"/>
        <v>LL Platz 3 Rang 2</v>
      </c>
      <c r="J542" t="s">
        <v>3</v>
      </c>
      <c r="K542">
        <v>3</v>
      </c>
      <c r="L542">
        <v>2</v>
      </c>
      <c r="M542">
        <f>VLOOKUP(H542+1,SHV!U$51:V$90,2,FALSE)</f>
        <v>15</v>
      </c>
      <c r="N542" t="str" cm="1">
        <f t="array" ref="N542">INDEX(SHV!E$51:E$945,M542)</f>
        <v>SG Scutro</v>
      </c>
    </row>
    <row r="543" spans="2:14" x14ac:dyDescent="0.35">
      <c r="B543">
        <f t="shared" si="98"/>
        <v>18</v>
      </c>
      <c r="C543">
        <f t="shared" si="96"/>
        <v>18</v>
      </c>
      <c r="D543" t="str" cm="1">
        <f t="array" ref="D543">IF(C543=0,INDEX(D$323:D$400,B$341+1-B543),INDEX(I$526:I$1002,C543))</f>
        <v>LL Platz 4 Rang 1</v>
      </c>
      <c r="E543" t="str" cm="1">
        <f t="array" ref="E543">IF(C543=0,INDEX(E$323:E$400,B$341+1-B543),INDEX(N$526:N$1002,C543))</f>
        <v>HSG Konstanz</v>
      </c>
      <c r="F543">
        <f t="shared" si="97"/>
        <v>18</v>
      </c>
      <c r="G543">
        <v>0</v>
      </c>
      <c r="H543">
        <f t="shared" si="99"/>
        <v>18</v>
      </c>
      <c r="I543" t="str">
        <f t="shared" si="101"/>
        <v>LL Platz 4 Rang 1</v>
      </c>
      <c r="J543" t="s">
        <v>3</v>
      </c>
      <c r="K543">
        <v>4</v>
      </c>
      <c r="L543">
        <v>1</v>
      </c>
      <c r="M543">
        <f>VLOOKUP(H543+1,SHV!U$51:V$90,2,FALSE)</f>
        <v>28</v>
      </c>
      <c r="N543" t="str" cm="1">
        <f t="array" ref="N543">INDEX(SHV!E$51:E$945,M543)</f>
        <v>HSG Konstanz</v>
      </c>
    </row>
    <row r="544" spans="2:14" x14ac:dyDescent="0.35">
      <c r="B544">
        <f t="shared" si="98"/>
        <v>19</v>
      </c>
      <c r="C544">
        <f t="shared" si="96"/>
        <v>19</v>
      </c>
      <c r="D544" t="str" cm="1">
        <f t="array" ref="D544">IF(C544=0,INDEX(D$323:D$400,B$341+1-B544),INDEX(I$526:I$1002,C544))</f>
        <v>LL Platz 4 Rang 2</v>
      </c>
      <c r="E544" t="str" cm="1">
        <f t="array" ref="E544">IF(C544=0,INDEX(E$323:E$400,B$341+1-B544),INDEX(N$526:N$1002,C544))</f>
        <v>Murgtal Panthers</v>
      </c>
      <c r="F544">
        <f t="shared" si="97"/>
        <v>19</v>
      </c>
      <c r="G544">
        <v>0</v>
      </c>
      <c r="H544">
        <f t="shared" si="99"/>
        <v>19</v>
      </c>
      <c r="I544" t="str">
        <f t="shared" si="101"/>
        <v>LL Platz 4 Rang 2</v>
      </c>
      <c r="J544" t="s">
        <v>3</v>
      </c>
      <c r="K544">
        <v>4</v>
      </c>
      <c r="L544">
        <v>2</v>
      </c>
      <c r="M544">
        <f>VLOOKUP(H544+1,SHV!U$51:V$90,2,FALSE)</f>
        <v>16</v>
      </c>
      <c r="N544" t="str" cm="1">
        <f t="array" ref="N544">INDEX(SHV!E$51:E$945,M544)</f>
        <v>Murgtal Panthers</v>
      </c>
    </row>
    <row r="545" spans="2:14" x14ac:dyDescent="0.35">
      <c r="B545">
        <f t="shared" si="98"/>
        <v>20</v>
      </c>
      <c r="C545">
        <f t="shared" si="96"/>
        <v>20</v>
      </c>
      <c r="D545" t="str" cm="1">
        <f t="array" ref="D545">IF(C545=0,INDEX(D$323:D$400,B$341+1-B545),INDEX(I$526:I$1002,C545))</f>
        <v>LL Platz 5 Rang 1</v>
      </c>
      <c r="E545" t="str" cm="1">
        <f t="array" ref="E545">IF(C545=0,INDEX(E$323:E$400,B$341+1-B545),INDEX(N$526:N$1002,C545))</f>
        <v>TSV Alemannia Freiburg-Zähringen</v>
      </c>
      <c r="F545">
        <f t="shared" si="97"/>
        <v>20</v>
      </c>
      <c r="G545">
        <v>0</v>
      </c>
      <c r="H545">
        <f t="shared" si="99"/>
        <v>20</v>
      </c>
      <c r="I545" t="str">
        <f t="shared" si="101"/>
        <v>LL Platz 5 Rang 1</v>
      </c>
      <c r="J545" t="s">
        <v>3</v>
      </c>
      <c r="K545">
        <v>5</v>
      </c>
      <c r="L545">
        <v>1</v>
      </c>
      <c r="M545">
        <f>VLOOKUP(H545+1,SHV!U$51:V$90,2,FALSE)</f>
        <v>29</v>
      </c>
      <c r="N545" t="str" cm="1">
        <f t="array" ref="N545">INDEX(SHV!E$51:E$945,M545)</f>
        <v>TSV Alemannia Freiburg-Zähringen</v>
      </c>
    </row>
    <row r="546" spans="2:14" x14ac:dyDescent="0.35">
      <c r="B546">
        <f t="shared" si="98"/>
        <v>21</v>
      </c>
      <c r="C546">
        <f t="shared" si="96"/>
        <v>21</v>
      </c>
      <c r="D546" t="str" cm="1">
        <f t="array" ref="D546">IF(C546=0,INDEX(D$323:D$400,B$341+1-B546),INDEX(I$526:I$1002,C546))</f>
        <v>LL Platz 5 Rang 2</v>
      </c>
      <c r="E546" t="str" cm="1">
        <f t="array" ref="E546">IF(C546=0,INDEX(E$323:E$400,B$341+1-B546),INDEX(N$526:N$1002,C546))</f>
        <v>SG Baden-Baden/Sandweier</v>
      </c>
      <c r="F546">
        <f t="shared" si="97"/>
        <v>21</v>
      </c>
      <c r="G546">
        <v>0</v>
      </c>
      <c r="H546">
        <f t="shared" si="99"/>
        <v>21</v>
      </c>
      <c r="I546" t="str">
        <f t="shared" si="101"/>
        <v>LL Platz 5 Rang 2</v>
      </c>
      <c r="J546" t="s">
        <v>3</v>
      </c>
      <c r="K546">
        <v>5</v>
      </c>
      <c r="L546">
        <v>2</v>
      </c>
      <c r="M546">
        <f>VLOOKUP(H546+1,SHV!U$51:V$90,2,FALSE)</f>
        <v>17</v>
      </c>
      <c r="N546" t="str" cm="1">
        <f t="array" ref="N546">INDEX(SHV!E$51:E$945,M546)</f>
        <v>SG Baden-Baden/Sandweier</v>
      </c>
    </row>
    <row r="547" spans="2:14" x14ac:dyDescent="0.35">
      <c r="B547">
        <f t="shared" si="98"/>
        <v>22</v>
      </c>
      <c r="C547">
        <f t="shared" si="96"/>
        <v>22</v>
      </c>
      <c r="D547" t="str" cm="1">
        <f t="array" ref="D547">IF(C547=0,INDEX(D$323:D$400,B$341+1-B547),INDEX(I$526:I$1002,C547))</f>
        <v>LL Platz 6 Rang 1</v>
      </c>
      <c r="E547" t="str" cm="1">
        <f t="array" ref="E547">IF(C547=0,INDEX(E$323:E$400,B$341+1-B547),INDEX(N$526:N$1002,C547))</f>
        <v>SG Waldkirch/Denzlingen</v>
      </c>
      <c r="F547">
        <f t="shared" si="97"/>
        <v>22</v>
      </c>
      <c r="G547">
        <v>0</v>
      </c>
      <c r="H547">
        <f t="shared" si="99"/>
        <v>22</v>
      </c>
      <c r="I547" t="str">
        <f t="shared" si="101"/>
        <v>LL Platz 6 Rang 1</v>
      </c>
      <c r="J547" t="s">
        <v>3</v>
      </c>
      <c r="K547">
        <v>6</v>
      </c>
      <c r="L547">
        <v>1</v>
      </c>
      <c r="M547">
        <f>VLOOKUP(H547+1,SHV!U$51:V$90,2,FALSE)</f>
        <v>30</v>
      </c>
      <c r="N547" t="str" cm="1">
        <f t="array" ref="N547">INDEX(SHV!E$51:E$945,M547)</f>
        <v>SG Waldkirch/Denzlingen</v>
      </c>
    </row>
    <row r="548" spans="2:14" x14ac:dyDescent="0.35">
      <c r="B548">
        <f t="shared" si="98"/>
        <v>23</v>
      </c>
      <c r="C548">
        <f t="shared" si="96"/>
        <v>23</v>
      </c>
      <c r="D548" t="str" cm="1">
        <f t="array" ref="D548">IF(C548=0,INDEX(D$323:D$400,B$341+1-B548),INDEX(I$526:I$1002,C548))</f>
        <v>LL Platz 6 Rang 2</v>
      </c>
      <c r="E548" t="str" cm="1">
        <f t="array" ref="E548">IF(C548=0,INDEX(E$323:E$400,B$341+1-B548),INDEX(N$526:N$1002,C548))</f>
        <v>SG Ohlsbach/Elgersweier/Zunsweier</v>
      </c>
      <c r="F548">
        <f t="shared" si="97"/>
        <v>23</v>
      </c>
      <c r="G548">
        <v>0</v>
      </c>
      <c r="H548">
        <f t="shared" si="99"/>
        <v>23</v>
      </c>
      <c r="I548" t="str">
        <f t="shared" si="101"/>
        <v>LL Platz 6 Rang 2</v>
      </c>
      <c r="J548" t="s">
        <v>3</v>
      </c>
      <c r="K548">
        <v>6</v>
      </c>
      <c r="L548">
        <v>2</v>
      </c>
      <c r="M548">
        <f>VLOOKUP(H548+1,SHV!U$51:V$90,2,FALSE)</f>
        <v>18</v>
      </c>
      <c r="N548" t="str" cm="1">
        <f t="array" ref="N548">INDEX(SHV!E$51:E$945,M548)</f>
        <v>SG Ohlsbach/Elgersweier/Zunsweier</v>
      </c>
    </row>
    <row r="549" spans="2:14" x14ac:dyDescent="0.35">
      <c r="B549">
        <f t="shared" si="98"/>
        <v>24</v>
      </c>
      <c r="C549">
        <f t="shared" si="96"/>
        <v>24</v>
      </c>
      <c r="D549" t="str" cm="1">
        <f t="array" ref="D549">IF(C549=0,INDEX(D$323:D$400,B$341+1-B549),INDEX(I$526:I$1002,C549))</f>
        <v>LL Platz 7 Rang 1</v>
      </c>
      <c r="E549" t="str" cm="1">
        <f t="array" ref="E549">IF(C549=0,INDEX(E$323:E$400,B$341+1-B549),INDEX(N$526:N$1002,C549))</f>
        <v>TuS Schutterwald 2</v>
      </c>
      <c r="F549">
        <f t="shared" si="97"/>
        <v>24</v>
      </c>
      <c r="G549">
        <v>0</v>
      </c>
      <c r="H549">
        <f t="shared" si="99"/>
        <v>24</v>
      </c>
      <c r="I549" t="str">
        <f t="shared" si="101"/>
        <v>LL Platz 7 Rang 1</v>
      </c>
      <c r="J549" t="s">
        <v>3</v>
      </c>
      <c r="K549">
        <v>7</v>
      </c>
      <c r="L549">
        <v>1</v>
      </c>
      <c r="M549">
        <f>VLOOKUP(H549+1,SHV!U$51:V$90,2,FALSE)</f>
        <v>19</v>
      </c>
      <c r="N549" t="str" cm="1">
        <f t="array" ref="N549">INDEX(SHV!E$51:E$945,M549)</f>
        <v>TuS Schutterwald 2</v>
      </c>
    </row>
    <row r="550" spans="2:14" x14ac:dyDescent="0.35">
      <c r="B550">
        <f t="shared" si="98"/>
        <v>25</v>
      </c>
      <c r="C550">
        <f t="shared" si="96"/>
        <v>25</v>
      </c>
      <c r="D550" t="str" cm="1">
        <f t="array" ref="D550">IF(C550=0,INDEX(D$323:D$400,B$341+1-B550),INDEX(I$526:I$1002,C550))</f>
        <v>LL Platz 7 Rang 2</v>
      </c>
      <c r="E550" t="str" cm="1">
        <f t="array" ref="E550">IF(C550=0,INDEX(E$323:E$400,B$341+1-B550),INDEX(N$526:N$1002,C550))</f>
        <v>TV St. Georgen/Schw.</v>
      </c>
      <c r="F550">
        <f t="shared" si="97"/>
        <v>25</v>
      </c>
      <c r="G550">
        <v>0</v>
      </c>
      <c r="H550">
        <f t="shared" si="99"/>
        <v>25</v>
      </c>
      <c r="I550" t="str">
        <f t="shared" si="101"/>
        <v>LL Platz 7 Rang 2</v>
      </c>
      <c r="J550" t="s">
        <v>3</v>
      </c>
      <c r="K550">
        <v>7</v>
      </c>
      <c r="L550">
        <v>2</v>
      </c>
      <c r="M550">
        <f>VLOOKUP(H550+1,SHV!U$51:V$90,2,FALSE)</f>
        <v>31</v>
      </c>
      <c r="N550" t="str" cm="1">
        <f t="array" ref="N550">INDEX(SHV!E$51:E$945,M550)</f>
        <v>TV St. Georgen/Schw.</v>
      </c>
    </row>
    <row r="551" spans="2:14" x14ac:dyDescent="0.35">
      <c r="B551">
        <f t="shared" si="98"/>
        <v>26</v>
      </c>
      <c r="C551">
        <f t="shared" si="96"/>
        <v>26</v>
      </c>
      <c r="D551" t="str" cm="1">
        <f t="array" ref="D551">IF(C551=0,INDEX(D$323:D$400,B$341+1-B551),INDEX(I$526:I$1002,C551))</f>
        <v>LL Platz 8 Rang 1</v>
      </c>
      <c r="E551" t="str" cm="1">
        <f t="array" ref="E551">IF(C551=0,INDEX(E$323:E$400,B$341+1-B551),INDEX(N$526:N$1002,C551))</f>
        <v>ASV Ottenhöfen</v>
      </c>
      <c r="F551">
        <f t="shared" si="97"/>
        <v>26</v>
      </c>
      <c r="G551">
        <v>0</v>
      </c>
      <c r="H551">
        <f t="shared" si="99"/>
        <v>26</v>
      </c>
      <c r="I551" t="str">
        <f t="shared" si="101"/>
        <v>LL Platz 8 Rang 1</v>
      </c>
      <c r="J551" t="s">
        <v>3</v>
      </c>
      <c r="K551">
        <v>8</v>
      </c>
      <c r="L551">
        <v>1</v>
      </c>
      <c r="M551">
        <f>VLOOKUP(H551+1,SHV!U$51:V$90,2,FALSE)</f>
        <v>20</v>
      </c>
      <c r="N551" t="str" cm="1">
        <f t="array" ref="N551">INDEX(SHV!E$51:E$945,M551)</f>
        <v>ASV Ottenhöfen</v>
      </c>
    </row>
    <row r="552" spans="2:14" x14ac:dyDescent="0.35">
      <c r="B552">
        <f t="shared" si="98"/>
        <v>27</v>
      </c>
      <c r="C552">
        <f t="shared" si="96"/>
        <v>27</v>
      </c>
      <c r="D552" t="str" cm="1">
        <f t="array" ref="D552">IF(C552=0,INDEX(D$323:D$400,B$341+1-B552),INDEX(I$526:I$1002,C552))</f>
        <v>LL Platz 8 Rang 2</v>
      </c>
      <c r="E552" t="str" cm="1">
        <f t="array" ref="E552">IF(C552=0,INDEX(E$323:E$400,B$341+1-B552),INDEX(N$526:N$1002,C552))</f>
        <v>TSV March</v>
      </c>
      <c r="F552">
        <f t="shared" si="97"/>
        <v>27</v>
      </c>
      <c r="G552">
        <v>0</v>
      </c>
      <c r="H552">
        <f t="shared" si="99"/>
        <v>27</v>
      </c>
      <c r="I552" t="str">
        <f t="shared" si="101"/>
        <v>LL Platz 8 Rang 2</v>
      </c>
      <c r="J552" t="s">
        <v>3</v>
      </c>
      <c r="K552">
        <v>8</v>
      </c>
      <c r="L552">
        <v>2</v>
      </c>
      <c r="M552">
        <f>VLOOKUP(H552+1,SHV!U$51:V$90,2,FALSE)</f>
        <v>32</v>
      </c>
      <c r="N552" t="str" cm="1">
        <f t="array" ref="N552">INDEX(SHV!E$51:E$945,M552)</f>
        <v>TSV March</v>
      </c>
    </row>
    <row r="553" spans="2:14" x14ac:dyDescent="0.35">
      <c r="B553">
        <f t="shared" si="98"/>
        <v>28</v>
      </c>
      <c r="C553">
        <f t="shared" si="96"/>
        <v>28</v>
      </c>
      <c r="D553" t="str" cm="1">
        <f t="array" ref="D553">IF(C553=0,INDEX(D$323:D$400,B$341+1-B553),INDEX(I$526:I$1002,C553))</f>
        <v>LL Platz 9 Rang 1</v>
      </c>
      <c r="E553" t="str" cm="1">
        <f t="array" ref="E553">IF(C553=0,INDEX(E$323:E$400,B$341+1-B553),INDEX(N$526:N$1002,C553))</f>
        <v>TuS Altenheim</v>
      </c>
      <c r="F553">
        <f t="shared" si="97"/>
        <v>28</v>
      </c>
      <c r="G553">
        <v>0</v>
      </c>
      <c r="H553">
        <f t="shared" si="99"/>
        <v>28</v>
      </c>
      <c r="I553" t="str">
        <f t="shared" si="101"/>
        <v>LL Platz 9 Rang 1</v>
      </c>
      <c r="J553" t="s">
        <v>3</v>
      </c>
      <c r="K553">
        <v>9</v>
      </c>
      <c r="L553">
        <v>1</v>
      </c>
      <c r="M553">
        <f>VLOOKUP(H553+1,SHV!U$51:V$90,2,FALSE)</f>
        <v>21</v>
      </c>
      <c r="N553" t="str" cm="1">
        <f t="array" ref="N553">INDEX(SHV!E$51:E$945,M553)</f>
        <v>TuS Altenheim</v>
      </c>
    </row>
    <row r="554" spans="2:14" x14ac:dyDescent="0.35">
      <c r="B554">
        <f t="shared" si="98"/>
        <v>29</v>
      </c>
      <c r="C554">
        <f t="shared" si="96"/>
        <v>36</v>
      </c>
      <c r="D554" t="str" cm="1">
        <f t="array" ref="D554">IF(C554=0,INDEX(D$323:D$400,B$341+1-B554),INDEX(I$526:I$1002,C554))</f>
        <v>BOL Platz 1 Rang 1</v>
      </c>
      <c r="E554" t="str" cm="1">
        <f t="array" ref="E554">IF(C554=0,INDEX(E$323:E$400,B$341+1-B554),INDEX(N$526:N$1002,C554))</f>
        <v>TuS Steißlingen 3</v>
      </c>
      <c r="F554">
        <f t="shared" si="97"/>
        <v>33</v>
      </c>
      <c r="G554">
        <v>4</v>
      </c>
      <c r="H554">
        <f t="shared" si="99"/>
        <v>29</v>
      </c>
      <c r="I554" t="str">
        <f t="shared" si="101"/>
        <v>LL Platz 9 Rang 2</v>
      </c>
      <c r="J554" t="s">
        <v>3</v>
      </c>
      <c r="K554">
        <v>9</v>
      </c>
      <c r="L554">
        <v>2</v>
      </c>
      <c r="M554">
        <f>VLOOKUP(H554+1,SHV!U$51:V$90,2,FALSE)</f>
        <v>33</v>
      </c>
      <c r="N554" t="str" cm="1">
        <f t="array" ref="N554">INDEX(SHV!E$51:E$945,M554)</f>
        <v>HSG Freiburg 3</v>
      </c>
    </row>
    <row r="555" spans="2:14" x14ac:dyDescent="0.35">
      <c r="B555">
        <f t="shared" si="98"/>
        <v>30</v>
      </c>
      <c r="C555">
        <f t="shared" si="96"/>
        <v>37</v>
      </c>
      <c r="D555" t="str" cm="1">
        <f t="array" ref="D555">IF(C555=0,INDEX(D$323:D$400,B$341+1-B555),INDEX(I$526:I$1002,C555))</f>
        <v>BOL Platz 1 Rang 2</v>
      </c>
      <c r="E555" t="str" cm="1">
        <f t="array" ref="E555">IF(C555=0,INDEX(E$323:E$400,B$341+1-B555),INDEX(N$526:N$1002,C555))</f>
        <v>HR Rastatt/Niederbühl</v>
      </c>
      <c r="F555">
        <f t="shared" si="97"/>
        <v>34</v>
      </c>
      <c r="G555">
        <v>4</v>
      </c>
      <c r="H555">
        <f t="shared" si="99"/>
        <v>30</v>
      </c>
      <c r="I555" t="str">
        <f t="shared" si="101"/>
        <v>LL Platz 10 Rang 1</v>
      </c>
      <c r="J555" t="s">
        <v>3</v>
      </c>
      <c r="K555">
        <v>10</v>
      </c>
      <c r="L555">
        <v>1</v>
      </c>
      <c r="M555">
        <f>VLOOKUP(H555+1,SHV!U$51:V$90,2,FALSE)</f>
        <v>22</v>
      </c>
      <c r="N555" t="str" cm="1">
        <f t="array" ref="N555">INDEX(SHV!E$51:E$945,M555)</f>
        <v>HSG Hanauerland</v>
      </c>
    </row>
    <row r="556" spans="2:14" x14ac:dyDescent="0.35">
      <c r="B556">
        <f t="shared" si="98"/>
        <v>31</v>
      </c>
      <c r="C556">
        <f t="shared" si="96"/>
        <v>38</v>
      </c>
      <c r="D556" t="str" cm="1">
        <f t="array" ref="D556">IF(C556=0,INDEX(D$323:D$400,B$341+1-B556),INDEX(I$526:I$1002,C556))</f>
        <v>BOL Platz 2 Rang 3</v>
      </c>
      <c r="E556" t="str" cm="1">
        <f t="array" ref="E556">IF(C556=0,INDEX(E$323:E$400,B$341+1-B556),INDEX(N$526:N$1002,C556))</f>
        <v>Freiburger TS 1844</v>
      </c>
      <c r="F556">
        <f t="shared" si="97"/>
        <v>35</v>
      </c>
      <c r="G556">
        <v>4</v>
      </c>
      <c r="H556">
        <f t="shared" si="99"/>
        <v>31</v>
      </c>
      <c r="I556" t="str">
        <f t="shared" si="101"/>
        <v>LL Platz 10 Rang 2</v>
      </c>
      <c r="J556" t="s">
        <v>3</v>
      </c>
      <c r="K556">
        <v>10</v>
      </c>
      <c r="L556">
        <v>2</v>
      </c>
      <c r="M556">
        <f>VLOOKUP(H556+1,SHV!U$51:V$90,2,FALSE)</f>
        <v>34</v>
      </c>
      <c r="N556" t="str" cm="1">
        <f t="array" ref="N556">INDEX(SHV!E$51:E$945,M556)</f>
        <v>HSG Oberer Hegau</v>
      </c>
    </row>
    <row r="557" spans="2:14" x14ac:dyDescent="0.35">
      <c r="B557">
        <f t="shared" si="98"/>
        <v>32</v>
      </c>
      <c r="C557">
        <f t="shared" si="96"/>
        <v>39</v>
      </c>
      <c r="D557" t="str" cm="1">
        <f t="array" ref="D557">IF(C557=0,INDEX(D$323:D$400,B$341+1-B557),INDEX(I$526:I$1002,C557))</f>
        <v>BOL Platz 3 Rang 4</v>
      </c>
      <c r="E557" t="str" cm="1">
        <f t="array" ref="E557">IF(C557=0,INDEX(E$323:E$400,B$341+1-B557),INDEX(N$526:N$1002,C557))</f>
        <v>TV Friesenheim</v>
      </c>
      <c r="F557">
        <f t="shared" si="97"/>
        <v>36</v>
      </c>
      <c r="G557">
        <v>4</v>
      </c>
      <c r="H557">
        <f t="shared" si="99"/>
        <v>32</v>
      </c>
      <c r="I557" t="str">
        <f t="shared" si="101"/>
        <v>LL Platz 11 Rang 1</v>
      </c>
      <c r="J557" t="s">
        <v>3</v>
      </c>
      <c r="K557">
        <v>11</v>
      </c>
      <c r="L557">
        <v>1</v>
      </c>
      <c r="M557">
        <f>VLOOKUP(H557+1,SHV!U$51:V$90,2,FALSE)</f>
        <v>23</v>
      </c>
      <c r="N557" t="str" cm="1">
        <f t="array" ref="N557">INDEX(SHV!E$51:E$945,M557)</f>
        <v>HSG Meißenheim/Nonnenweier</v>
      </c>
    </row>
    <row r="558" spans="2:14" x14ac:dyDescent="0.35">
      <c r="B558">
        <f t="shared" si="98"/>
        <v>33</v>
      </c>
      <c r="C558">
        <f t="shared" si="96"/>
        <v>29</v>
      </c>
      <c r="D558" t="str" cm="1">
        <f t="array" ref="D558">IF(C558=0,INDEX(D$323:D$400,B$341+1-B558),INDEX(I$526:I$1002,C558))</f>
        <v>LL Platz 9 Rang 2</v>
      </c>
      <c r="E558" t="str" cm="1">
        <f t="array" ref="E558">IF(C558=0,INDEX(E$323:E$400,B$341+1-B558),INDEX(N$526:N$1002,C558))</f>
        <v>HSG Freiburg 3</v>
      </c>
      <c r="F558">
        <f t="shared" si="97"/>
        <v>37</v>
      </c>
      <c r="G558">
        <v>4</v>
      </c>
      <c r="H558">
        <f t="shared" si="99"/>
        <v>33</v>
      </c>
      <c r="I558" t="str">
        <f t="shared" si="101"/>
        <v>LL Platz 11 Rang 2</v>
      </c>
      <c r="J558" t="s">
        <v>3</v>
      </c>
      <c r="K558">
        <v>11</v>
      </c>
      <c r="L558">
        <v>2</v>
      </c>
      <c r="M558">
        <f>VLOOKUP(H558+1,SHV!U$51:V$90,2,FALSE)</f>
        <v>35</v>
      </c>
      <c r="N558" t="str" cm="1">
        <f t="array" ref="N558">INDEX(SHV!E$51:E$945,M558)</f>
        <v>HSC Radolfzell</v>
      </c>
    </row>
    <row r="559" spans="2:14" x14ac:dyDescent="0.35">
      <c r="B559">
        <f t="shared" si="98"/>
        <v>34</v>
      </c>
      <c r="C559">
        <f t="shared" si="96"/>
        <v>30</v>
      </c>
      <c r="D559" t="str" cm="1">
        <f t="array" ref="D559">IF(C559=0,INDEX(D$323:D$400,B$341+1-B559),INDEX(I$526:I$1002,C559))</f>
        <v>LL Platz 10 Rang 1</v>
      </c>
      <c r="E559" t="str" cm="1">
        <f t="array" ref="E559">IF(C559=0,INDEX(E$323:E$400,B$341+1-B559),INDEX(N$526:N$1002,C559))</f>
        <v>HSG Hanauerland</v>
      </c>
      <c r="F559">
        <f t="shared" si="97"/>
        <v>38</v>
      </c>
      <c r="G559">
        <v>4</v>
      </c>
      <c r="H559">
        <f t="shared" si="99"/>
        <v>34</v>
      </c>
      <c r="I559" t="str">
        <f t="shared" si="101"/>
        <v>LL Platz 12 Rang 1</v>
      </c>
      <c r="J559" t="s">
        <v>3</v>
      </c>
      <c r="K559">
        <v>12</v>
      </c>
      <c r="L559">
        <v>1</v>
      </c>
      <c r="M559">
        <f>VLOOKUP(H559+1,SHV!U$51:V$90,2,FALSE)</f>
        <v>24</v>
      </c>
      <c r="N559" t="str" cm="1">
        <f t="array" ref="N559">INDEX(SHV!E$51:E$945,M559)</f>
        <v>TuS Ottenheim 2</v>
      </c>
    </row>
    <row r="560" spans="2:14" x14ac:dyDescent="0.35">
      <c r="B560">
        <f t="shared" si="98"/>
        <v>35</v>
      </c>
      <c r="C560">
        <f t="shared" si="96"/>
        <v>31</v>
      </c>
      <c r="D560" t="str" cm="1">
        <f t="array" ref="D560">IF(C560=0,INDEX(D$323:D$400,B$341+1-B560),INDEX(I$526:I$1002,C560))</f>
        <v>LL Platz 10 Rang 2</v>
      </c>
      <c r="E560" t="str" cm="1">
        <f t="array" ref="E560">IF(C560=0,INDEX(E$323:E$400,B$341+1-B560),INDEX(N$526:N$1002,C560))</f>
        <v>HSG Oberer Hegau</v>
      </c>
      <c r="F560">
        <f t="shared" si="97"/>
        <v>39</v>
      </c>
      <c r="G560">
        <v>4</v>
      </c>
      <c r="H560">
        <f t="shared" si="99"/>
        <v>35</v>
      </c>
      <c r="I560" t="str">
        <f t="shared" si="101"/>
        <v>LL Platz 12 Rang 2</v>
      </c>
      <c r="J560" t="s">
        <v>3</v>
      </c>
      <c r="K560">
        <v>12</v>
      </c>
      <c r="L560">
        <v>2</v>
      </c>
      <c r="M560">
        <f>VLOOKUP(H560+1,SHV!U$51:V$90,2,FALSE)</f>
        <v>36</v>
      </c>
      <c r="N560" t="str" cm="1">
        <f t="array" ref="N560">INDEX(SHV!E$51:E$945,M560)</f>
        <v>HG Müllheim/Neuenburg</v>
      </c>
    </row>
    <row r="561" spans="2:14" x14ac:dyDescent="0.35">
      <c r="B561">
        <f t="shared" si="98"/>
        <v>36</v>
      </c>
      <c r="C561">
        <f t="shared" si="96"/>
        <v>32</v>
      </c>
      <c r="D561" t="str" cm="1">
        <f t="array" ref="D561">IF(C561=0,INDEX(D$323:D$400,B$341+1-B561),INDEX(I$526:I$1002,C561))</f>
        <v>LL Platz 11 Rang 1</v>
      </c>
      <c r="E561" t="str" cm="1">
        <f t="array" ref="E561">IF(C561=0,INDEX(E$323:E$400,B$341+1-B561),INDEX(N$526:N$1002,C561))</f>
        <v>HSG Meißenheim/Nonnenweier</v>
      </c>
      <c r="F561">
        <f t="shared" si="97"/>
        <v>29</v>
      </c>
      <c r="G561">
        <v>-7</v>
      </c>
      <c r="H561">
        <f t="shared" si="99"/>
        <v>36</v>
      </c>
      <c r="I561" t="str">
        <f t="shared" si="101"/>
        <v>BOL Platz 1 Rang 1</v>
      </c>
      <c r="J561" t="s">
        <v>5</v>
      </c>
      <c r="K561" cm="1">
        <f t="array" ref="K561">INDEX(SHV!D$51:D$945,M561)</f>
        <v>1</v>
      </c>
      <c r="L561">
        <v>1</v>
      </c>
      <c r="M561">
        <f>VLOOKUP(H561+1,SHV!U$51:V$90,2,FALSE)</f>
        <v>40</v>
      </c>
      <c r="N561" t="str" cm="1">
        <f t="array" ref="N561">INDEX(SHV!E$51:E$945,M561)</f>
        <v>TuS Steißlingen 3</v>
      </c>
    </row>
    <row r="562" spans="2:14" x14ac:dyDescent="0.35">
      <c r="B562">
        <f t="shared" si="98"/>
        <v>37</v>
      </c>
      <c r="C562">
        <f t="shared" si="96"/>
        <v>33</v>
      </c>
      <c r="D562" t="str" cm="1">
        <f t="array" ref="D562">IF(C562=0,INDEX(D$323:D$400,B$341+1-B562),INDEX(I$526:I$1002,C562))</f>
        <v>LL Platz 11 Rang 2</v>
      </c>
      <c r="E562" t="str" cm="1">
        <f t="array" ref="E562">IF(C562=0,INDEX(E$323:E$400,B$341+1-B562),INDEX(N$526:N$1002,C562))</f>
        <v>HSC Radolfzell</v>
      </c>
      <c r="F562">
        <f t="shared" si="97"/>
        <v>30</v>
      </c>
      <c r="G562">
        <v>-7</v>
      </c>
      <c r="H562">
        <f t="shared" si="99"/>
        <v>37</v>
      </c>
      <c r="I562" t="str">
        <f t="shared" si="101"/>
        <v>BOL Platz 1 Rang 2</v>
      </c>
      <c r="J562" t="s">
        <v>5</v>
      </c>
      <c r="K562" cm="1">
        <f t="array" ref="K562">INDEX(SHV!D$51:D$945,M562)</f>
        <v>1</v>
      </c>
      <c r="L562">
        <v>2</v>
      </c>
      <c r="M562">
        <f>VLOOKUP(H562+1,SHV!U$51:V$90,2,FALSE)</f>
        <v>37</v>
      </c>
      <c r="N562" t="str" cm="1">
        <f t="array" ref="N562">INDEX(SHV!E$51:E$945,M562)</f>
        <v>HR Rastatt/Niederbühl</v>
      </c>
    </row>
    <row r="563" spans="2:14" x14ac:dyDescent="0.35">
      <c r="B563">
        <f t="shared" si="98"/>
        <v>38</v>
      </c>
      <c r="C563">
        <f t="shared" si="96"/>
        <v>34</v>
      </c>
      <c r="D563" t="str" cm="1">
        <f t="array" ref="D563">IF(C563=0,INDEX(D$323:D$400,B$341+1-B563),INDEX(I$526:I$1002,C563))</f>
        <v>LL Platz 12 Rang 1</v>
      </c>
      <c r="E563" t="str" cm="1">
        <f t="array" ref="E563">IF(C563=0,INDEX(E$323:E$400,B$341+1-B563),INDEX(N$526:N$1002,C563))</f>
        <v>TuS Ottenheim 2</v>
      </c>
      <c r="F563">
        <f t="shared" si="97"/>
        <v>31</v>
      </c>
      <c r="G563">
        <v>-7</v>
      </c>
      <c r="H563">
        <f t="shared" si="99"/>
        <v>38</v>
      </c>
      <c r="I563" t="str">
        <f t="shared" si="101"/>
        <v>BOL Platz 2 Rang 3</v>
      </c>
      <c r="J563" t="s">
        <v>5</v>
      </c>
      <c r="K563" cm="1">
        <f t="array" ref="K563">INDEX(SHV!D$51:D$945,M563)</f>
        <v>2</v>
      </c>
      <c r="L563">
        <v>3</v>
      </c>
      <c r="M563">
        <f>VLOOKUP(H563+1,SHV!U$51:V$90,2,FALSE)</f>
        <v>39</v>
      </c>
      <c r="N563" t="str" cm="1">
        <f t="array" ref="N563">INDEX(SHV!E$51:E$945,M563)</f>
        <v>Freiburger TS 1844</v>
      </c>
    </row>
    <row r="564" spans="2:14" x14ac:dyDescent="0.35">
      <c r="B564">
        <f t="shared" si="98"/>
        <v>39</v>
      </c>
      <c r="C564">
        <f t="shared" si="96"/>
        <v>35</v>
      </c>
      <c r="D564" t="str" cm="1">
        <f t="array" ref="D564">IF(C564=0,INDEX(D$323:D$400,B$341+1-B564),INDEX(I$526:I$1002,C564))</f>
        <v>LL Platz 12 Rang 2</v>
      </c>
      <c r="E564" t="str" cm="1">
        <f t="array" ref="E564">IF(C564=0,INDEX(E$323:E$400,B$341+1-B564),INDEX(N$526:N$1002,C564))</f>
        <v>HG Müllheim/Neuenburg</v>
      </c>
      <c r="F564">
        <f t="shared" si="97"/>
        <v>32</v>
      </c>
      <c r="G564">
        <v>-7</v>
      </c>
      <c r="H564">
        <f t="shared" si="99"/>
        <v>39</v>
      </c>
      <c r="I564" t="str">
        <f t="shared" si="101"/>
        <v>BOL Platz 3 Rang 4</v>
      </c>
      <c r="J564" t="s">
        <v>5</v>
      </c>
      <c r="K564" cm="1">
        <f t="array" ref="K564">INDEX(SHV!D$51:D$945,M564)</f>
        <v>3</v>
      </c>
      <c r="L564">
        <v>4</v>
      </c>
      <c r="M564">
        <f>VLOOKUP(H564+1,SHV!U$51:V$90,2,FALSE)</f>
        <v>38</v>
      </c>
      <c r="N564" t="str" cm="1">
        <f t="array" ref="N564">INDEX(SHV!E$51:E$945,M564)</f>
        <v>TV Friesenheim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8532C-CE9E-43F6-8F63-ACB56E86D984}">
  <dimension ref="B2:W98"/>
  <sheetViews>
    <sheetView topLeftCell="A8" workbookViewId="0">
      <selection activeCell="D9" sqref="D9"/>
    </sheetView>
  </sheetViews>
  <sheetFormatPr baseColWidth="10" defaultRowHeight="14.5" x14ac:dyDescent="0.35"/>
  <cols>
    <col min="1" max="1" width="3.6328125" customWidth="1"/>
    <col min="4" max="4" width="2.81640625" bestFit="1" customWidth="1"/>
    <col min="5" max="5" width="28.26953125" bestFit="1" customWidth="1"/>
    <col min="6" max="9" width="3.6328125" customWidth="1"/>
    <col min="10" max="10" width="5.6328125" customWidth="1"/>
    <col min="11" max="11" width="1.36328125" bestFit="1" customWidth="1"/>
    <col min="12" max="12" width="5.6328125" customWidth="1"/>
    <col min="13" max="13" width="4.6328125" customWidth="1"/>
    <col min="14" max="14" width="1.36328125" bestFit="1" customWidth="1"/>
    <col min="15" max="15" width="2.81640625" bestFit="1" customWidth="1"/>
    <col min="16" max="16" width="4.81640625" bestFit="1" customWidth="1"/>
    <col min="17" max="20" width="4.81640625" customWidth="1"/>
    <col min="22" max="22" width="28.26953125" bestFit="1" customWidth="1"/>
  </cols>
  <sheetData>
    <row r="2" spans="2:23" x14ac:dyDescent="0.35">
      <c r="F2" t="s">
        <v>273</v>
      </c>
      <c r="I2" t="s">
        <v>276</v>
      </c>
    </row>
    <row r="3" spans="2:23" x14ac:dyDescent="0.35">
      <c r="E3" t="s">
        <v>57</v>
      </c>
      <c r="F3">
        <f>COUNTIF(P23:P25,"=BW")</f>
        <v>1</v>
      </c>
      <c r="I3">
        <f>COUNTIF(Q52:Q58,"=BW")</f>
        <v>1</v>
      </c>
    </row>
    <row r="4" spans="2:23" x14ac:dyDescent="0.35">
      <c r="E4" t="s">
        <v>499</v>
      </c>
      <c r="F4">
        <f>2+F3</f>
        <v>3</v>
      </c>
      <c r="G4">
        <f>WWW!F12</f>
        <v>3</v>
      </c>
      <c r="I4">
        <f>4+I3</f>
        <v>5</v>
      </c>
      <c r="J4">
        <f>WWW!P12</f>
        <v>5</v>
      </c>
    </row>
    <row r="5" spans="2:23" x14ac:dyDescent="0.35">
      <c r="E5" t="s">
        <v>500</v>
      </c>
      <c r="F5">
        <f>17-G4</f>
        <v>14</v>
      </c>
      <c r="G5">
        <f>F5</f>
        <v>14</v>
      </c>
      <c r="I5">
        <f>15-J4</f>
        <v>10</v>
      </c>
      <c r="J5">
        <f>I5-2</f>
        <v>8</v>
      </c>
    </row>
    <row r="6" spans="2:23" x14ac:dyDescent="0.35">
      <c r="E6" t="s">
        <v>58</v>
      </c>
      <c r="F6">
        <f>COUNTIF(Q$29:Q$42,"=HVW")</f>
        <v>1</v>
      </c>
      <c r="I6">
        <f>COUNTIF(Q$62:Q$73,"=HVW")</f>
        <v>4</v>
      </c>
    </row>
    <row r="7" spans="2:23" x14ac:dyDescent="0.35">
      <c r="E7" t="s">
        <v>59</v>
      </c>
      <c r="F7">
        <f>COUNTIF(Q$29:Q$42,"=BHV")</f>
        <v>1</v>
      </c>
      <c r="I7">
        <f>COUNTIF(Q$62:Q$73,"=BHV")</f>
        <v>1</v>
      </c>
    </row>
    <row r="8" spans="2:23" x14ac:dyDescent="0.35">
      <c r="E8" t="s">
        <v>60</v>
      </c>
      <c r="F8">
        <f>COUNTIF(Q$29:Q$42,"=SHV")</f>
        <v>1</v>
      </c>
      <c r="I8">
        <f>COUNTIF(Q$62:Q$73,"=SHV")</f>
        <v>0</v>
      </c>
    </row>
    <row r="10" spans="2:23" x14ac:dyDescent="0.35">
      <c r="B10" s="1" t="s">
        <v>273</v>
      </c>
      <c r="C10" s="1" t="s">
        <v>501</v>
      </c>
      <c r="D10" s="12">
        <v>1</v>
      </c>
      <c r="E10" s="12" t="s">
        <v>19</v>
      </c>
      <c r="F10" s="12">
        <v>30</v>
      </c>
      <c r="G10" s="12">
        <v>27</v>
      </c>
      <c r="H10" s="12">
        <v>0</v>
      </c>
      <c r="I10" s="12">
        <v>3</v>
      </c>
      <c r="J10" s="12">
        <v>978</v>
      </c>
      <c r="K10" s="12" t="s">
        <v>20</v>
      </c>
      <c r="L10" s="13">
        <v>834</v>
      </c>
      <c r="M10" s="12">
        <v>54</v>
      </c>
      <c r="N10" s="12" t="s">
        <v>20</v>
      </c>
      <c r="O10" s="13">
        <v>6</v>
      </c>
      <c r="P10" s="6" t="str">
        <f t="shared" ref="P10:P22" si="0">VLOOKUP(E10,$V$10:$W$42,2,FALSE)</f>
        <v>BW</v>
      </c>
      <c r="Q10" s="6"/>
      <c r="R10" s="6"/>
      <c r="V10" t="s">
        <v>19</v>
      </c>
      <c r="W10" t="s">
        <v>52</v>
      </c>
    </row>
    <row r="11" spans="2:23" x14ac:dyDescent="0.35">
      <c r="D11" s="12">
        <v>2</v>
      </c>
      <c r="E11" s="12" t="s">
        <v>21</v>
      </c>
      <c r="F11" s="12">
        <v>30</v>
      </c>
      <c r="G11" s="12">
        <v>22</v>
      </c>
      <c r="H11" s="12">
        <v>2</v>
      </c>
      <c r="I11" s="12">
        <v>6</v>
      </c>
      <c r="J11" s="12">
        <v>983</v>
      </c>
      <c r="K11" s="12" t="s">
        <v>20</v>
      </c>
      <c r="L11" s="13">
        <v>885</v>
      </c>
      <c r="M11" s="12">
        <v>46</v>
      </c>
      <c r="N11" s="12" t="s">
        <v>20</v>
      </c>
      <c r="O11" s="13">
        <v>14</v>
      </c>
      <c r="P11" s="6" t="str">
        <f t="shared" si="0"/>
        <v>BY</v>
      </c>
      <c r="Q11" s="6"/>
      <c r="R11" s="6"/>
      <c r="V11" t="s">
        <v>21</v>
      </c>
      <c r="W11" t="s">
        <v>54</v>
      </c>
    </row>
    <row r="12" spans="2:23" x14ac:dyDescent="0.35">
      <c r="D12" s="12">
        <v>3</v>
      </c>
      <c r="E12" s="12" t="s">
        <v>25</v>
      </c>
      <c r="F12" s="12">
        <v>30</v>
      </c>
      <c r="G12" s="12">
        <v>17</v>
      </c>
      <c r="H12" s="12">
        <v>2</v>
      </c>
      <c r="I12" s="12">
        <v>11</v>
      </c>
      <c r="J12" s="12">
        <v>933</v>
      </c>
      <c r="K12" s="12" t="s">
        <v>20</v>
      </c>
      <c r="L12" s="13">
        <v>903</v>
      </c>
      <c r="M12" s="12">
        <v>36</v>
      </c>
      <c r="N12" s="12" t="s">
        <v>20</v>
      </c>
      <c r="O12" s="13">
        <v>24</v>
      </c>
      <c r="P12" s="6" t="str">
        <f t="shared" si="0"/>
        <v>BW</v>
      </c>
      <c r="Q12" s="6"/>
      <c r="R12" s="6"/>
      <c r="V12" t="s">
        <v>22</v>
      </c>
      <c r="W12" t="s">
        <v>52</v>
      </c>
    </row>
    <row r="13" spans="2:23" x14ac:dyDescent="0.35">
      <c r="D13" s="12">
        <v>4</v>
      </c>
      <c r="E13" s="12" t="s">
        <v>24</v>
      </c>
      <c r="F13" s="12">
        <v>30</v>
      </c>
      <c r="G13" s="12">
        <v>16</v>
      </c>
      <c r="H13" s="12">
        <v>4</v>
      </c>
      <c r="I13" s="12">
        <v>10</v>
      </c>
      <c r="J13" s="12">
        <v>977</v>
      </c>
      <c r="K13" s="12" t="s">
        <v>20</v>
      </c>
      <c r="L13" s="13">
        <v>941</v>
      </c>
      <c r="M13" s="12">
        <v>36</v>
      </c>
      <c r="N13" s="12" t="s">
        <v>20</v>
      </c>
      <c r="O13" s="13">
        <v>24</v>
      </c>
      <c r="P13" s="6" t="str">
        <f t="shared" si="0"/>
        <v>BW</v>
      </c>
      <c r="Q13" s="6"/>
      <c r="R13" s="6"/>
      <c r="V13" t="s">
        <v>23</v>
      </c>
      <c r="W13" t="s">
        <v>53</v>
      </c>
    </row>
    <row r="14" spans="2:23" x14ac:dyDescent="0.35">
      <c r="D14" s="12">
        <v>5</v>
      </c>
      <c r="E14" s="12" t="s">
        <v>23</v>
      </c>
      <c r="F14" s="12">
        <v>30</v>
      </c>
      <c r="G14" s="12">
        <v>14</v>
      </c>
      <c r="H14" s="12">
        <v>7</v>
      </c>
      <c r="I14" s="12">
        <v>9</v>
      </c>
      <c r="J14" s="12">
        <v>966</v>
      </c>
      <c r="K14" s="12" t="s">
        <v>20</v>
      </c>
      <c r="L14" s="13">
        <v>916</v>
      </c>
      <c r="M14" s="12">
        <v>35</v>
      </c>
      <c r="N14" s="12" t="s">
        <v>20</v>
      </c>
      <c r="O14" s="13">
        <v>25</v>
      </c>
      <c r="P14" s="6" t="str">
        <f t="shared" si="0"/>
        <v>SN</v>
      </c>
      <c r="Q14" s="6"/>
      <c r="R14" s="6"/>
      <c r="V14" t="s">
        <v>24</v>
      </c>
      <c r="W14" t="s">
        <v>52</v>
      </c>
    </row>
    <row r="15" spans="2:23" x14ac:dyDescent="0.35">
      <c r="D15" s="12">
        <v>6</v>
      </c>
      <c r="E15" s="12" t="s">
        <v>26</v>
      </c>
      <c r="F15" s="12">
        <v>30</v>
      </c>
      <c r="G15" s="12">
        <v>16</v>
      </c>
      <c r="H15" s="12">
        <v>2</v>
      </c>
      <c r="I15" s="12">
        <v>12</v>
      </c>
      <c r="J15" s="12">
        <v>949</v>
      </c>
      <c r="K15" s="12" t="s">
        <v>20</v>
      </c>
      <c r="L15" s="13">
        <v>948</v>
      </c>
      <c r="M15" s="12">
        <v>34</v>
      </c>
      <c r="N15" s="12" t="s">
        <v>20</v>
      </c>
      <c r="O15" s="13">
        <v>26</v>
      </c>
      <c r="P15" s="6" t="str">
        <f t="shared" si="0"/>
        <v>BW</v>
      </c>
      <c r="Q15" s="6"/>
      <c r="R15" s="6"/>
      <c r="V15" t="s">
        <v>25</v>
      </c>
      <c r="W15" t="s">
        <v>52</v>
      </c>
    </row>
    <row r="16" spans="2:23" x14ac:dyDescent="0.35">
      <c r="D16" s="12">
        <v>7</v>
      </c>
      <c r="E16" s="12" t="s">
        <v>31</v>
      </c>
      <c r="F16" s="12">
        <v>30</v>
      </c>
      <c r="G16" s="12">
        <v>15</v>
      </c>
      <c r="H16" s="12">
        <v>2</v>
      </c>
      <c r="I16" s="12">
        <v>13</v>
      </c>
      <c r="J16" s="12">
        <v>975</v>
      </c>
      <c r="K16" s="12" t="s">
        <v>20</v>
      </c>
      <c r="L16" s="13">
        <v>983</v>
      </c>
      <c r="M16" s="12">
        <v>32</v>
      </c>
      <c r="N16" s="12" t="s">
        <v>20</v>
      </c>
      <c r="O16" s="13">
        <v>28</v>
      </c>
      <c r="P16" s="6" t="str">
        <f t="shared" si="0"/>
        <v>BW</v>
      </c>
      <c r="Q16" s="6"/>
      <c r="R16" s="6"/>
      <c r="V16" t="s">
        <v>26</v>
      </c>
      <c r="W16" t="s">
        <v>52</v>
      </c>
    </row>
    <row r="17" spans="3:23" x14ac:dyDescent="0.35">
      <c r="D17" s="12">
        <v>8</v>
      </c>
      <c r="E17" s="12" t="s">
        <v>32</v>
      </c>
      <c r="F17" s="12">
        <v>30</v>
      </c>
      <c r="G17" s="12">
        <v>14</v>
      </c>
      <c r="H17" s="12">
        <v>3</v>
      </c>
      <c r="I17" s="12">
        <v>13</v>
      </c>
      <c r="J17" s="12">
        <v>852</v>
      </c>
      <c r="K17" s="12" t="s">
        <v>20</v>
      </c>
      <c r="L17" s="13">
        <v>825</v>
      </c>
      <c r="M17" s="12">
        <v>31</v>
      </c>
      <c r="N17" s="12" t="s">
        <v>20</v>
      </c>
      <c r="O17" s="13">
        <v>29</v>
      </c>
      <c r="P17" s="6" t="str">
        <f t="shared" si="0"/>
        <v>BW</v>
      </c>
      <c r="Q17" s="6"/>
      <c r="R17" s="6"/>
      <c r="V17" t="s">
        <v>27</v>
      </c>
      <c r="W17" t="s">
        <v>52</v>
      </c>
    </row>
    <row r="18" spans="3:23" x14ac:dyDescent="0.35">
      <c r="D18" s="12">
        <v>9</v>
      </c>
      <c r="E18" s="12" t="s">
        <v>22</v>
      </c>
      <c r="F18" s="12">
        <v>30</v>
      </c>
      <c r="G18" s="12">
        <v>15</v>
      </c>
      <c r="H18" s="12">
        <v>1</v>
      </c>
      <c r="I18" s="12">
        <v>14</v>
      </c>
      <c r="J18" s="12">
        <v>976</v>
      </c>
      <c r="K18" s="12" t="s">
        <v>20</v>
      </c>
      <c r="L18" s="13">
        <v>996</v>
      </c>
      <c r="M18" s="12">
        <v>31</v>
      </c>
      <c r="N18" s="12" t="s">
        <v>20</v>
      </c>
      <c r="O18" s="13">
        <v>29</v>
      </c>
      <c r="P18" s="6" t="str">
        <f t="shared" si="0"/>
        <v>BW</v>
      </c>
      <c r="Q18" s="6"/>
      <c r="R18" s="6"/>
      <c r="V18" t="s">
        <v>28</v>
      </c>
      <c r="W18" t="s">
        <v>54</v>
      </c>
    </row>
    <row r="19" spans="3:23" x14ac:dyDescent="0.35">
      <c r="D19" s="12">
        <v>10</v>
      </c>
      <c r="E19" s="12" t="s">
        <v>27</v>
      </c>
      <c r="F19" s="12">
        <v>30</v>
      </c>
      <c r="G19" s="12">
        <v>13</v>
      </c>
      <c r="H19" s="12">
        <v>4</v>
      </c>
      <c r="I19" s="12">
        <v>13</v>
      </c>
      <c r="J19" s="12">
        <v>969</v>
      </c>
      <c r="K19" s="12" t="s">
        <v>20</v>
      </c>
      <c r="L19" s="13">
        <v>968</v>
      </c>
      <c r="M19" s="12">
        <v>30</v>
      </c>
      <c r="N19" s="12" t="s">
        <v>20</v>
      </c>
      <c r="O19" s="13">
        <v>30</v>
      </c>
      <c r="P19" s="6" t="str">
        <f t="shared" si="0"/>
        <v>BW</v>
      </c>
      <c r="Q19" s="6"/>
      <c r="R19" s="6"/>
      <c r="V19" t="s">
        <v>29</v>
      </c>
      <c r="W19" t="s">
        <v>54</v>
      </c>
    </row>
    <row r="20" spans="3:23" x14ac:dyDescent="0.35">
      <c r="D20" s="12">
        <v>11</v>
      </c>
      <c r="E20" s="12" t="s">
        <v>30</v>
      </c>
      <c r="F20" s="12">
        <v>30</v>
      </c>
      <c r="G20" s="12">
        <v>12</v>
      </c>
      <c r="H20" s="12">
        <v>3</v>
      </c>
      <c r="I20" s="12">
        <v>15</v>
      </c>
      <c r="J20" s="12">
        <v>904</v>
      </c>
      <c r="K20" s="12" t="s">
        <v>20</v>
      </c>
      <c r="L20" s="13">
        <v>915</v>
      </c>
      <c r="M20" s="12">
        <v>27</v>
      </c>
      <c r="N20" s="12" t="s">
        <v>20</v>
      </c>
      <c r="O20" s="13">
        <v>33</v>
      </c>
      <c r="P20" s="6" t="str">
        <f t="shared" si="0"/>
        <v>BW</v>
      </c>
      <c r="Q20" s="6"/>
      <c r="R20" s="6"/>
      <c r="V20" t="s">
        <v>30</v>
      </c>
      <c r="W20" t="s">
        <v>52</v>
      </c>
    </row>
    <row r="21" spans="3:23" x14ac:dyDescent="0.35">
      <c r="D21" s="12">
        <v>12</v>
      </c>
      <c r="E21" s="12" t="s">
        <v>29</v>
      </c>
      <c r="F21" s="12">
        <v>30</v>
      </c>
      <c r="G21" s="12">
        <v>11</v>
      </c>
      <c r="H21" s="12">
        <v>4</v>
      </c>
      <c r="I21" s="12">
        <v>15</v>
      </c>
      <c r="J21" s="12">
        <v>989</v>
      </c>
      <c r="K21" s="12" t="s">
        <v>20</v>
      </c>
      <c r="L21" s="13">
        <v>996</v>
      </c>
      <c r="M21" s="12">
        <v>26</v>
      </c>
      <c r="N21" s="12" t="s">
        <v>20</v>
      </c>
      <c r="O21" s="13">
        <v>34</v>
      </c>
      <c r="P21" s="6" t="str">
        <f t="shared" si="0"/>
        <v>BY</v>
      </c>
      <c r="Q21" s="6"/>
      <c r="R21" s="6"/>
      <c r="V21" t="s">
        <v>31</v>
      </c>
      <c r="W21" t="s">
        <v>52</v>
      </c>
    </row>
    <row r="22" spans="3:23" x14ac:dyDescent="0.35">
      <c r="D22" s="12">
        <v>13</v>
      </c>
      <c r="E22" s="12" t="s">
        <v>28</v>
      </c>
      <c r="F22" s="12">
        <v>30</v>
      </c>
      <c r="G22" s="12">
        <v>11</v>
      </c>
      <c r="H22" s="12">
        <v>2</v>
      </c>
      <c r="I22" s="12">
        <v>17</v>
      </c>
      <c r="J22" s="12">
        <v>935</v>
      </c>
      <c r="K22" s="12" t="s">
        <v>20</v>
      </c>
      <c r="L22" s="13">
        <v>980</v>
      </c>
      <c r="M22" s="12">
        <v>24</v>
      </c>
      <c r="N22" s="12" t="s">
        <v>20</v>
      </c>
      <c r="O22" s="13">
        <v>36</v>
      </c>
      <c r="P22" s="6" t="str">
        <f t="shared" si="0"/>
        <v>BY</v>
      </c>
      <c r="Q22" s="6"/>
      <c r="R22" s="6"/>
      <c r="V22" t="s">
        <v>32</v>
      </c>
      <c r="W22" t="s">
        <v>52</v>
      </c>
    </row>
    <row r="23" spans="3:23" x14ac:dyDescent="0.35">
      <c r="D23" s="12">
        <v>14</v>
      </c>
      <c r="E23" s="12" t="s">
        <v>34</v>
      </c>
      <c r="F23" s="12">
        <v>30</v>
      </c>
      <c r="G23" s="12">
        <v>8</v>
      </c>
      <c r="H23" s="12">
        <v>1</v>
      </c>
      <c r="I23" s="12">
        <v>21</v>
      </c>
      <c r="J23" s="12">
        <v>884</v>
      </c>
      <c r="K23" s="12" t="s">
        <v>20</v>
      </c>
      <c r="L23" s="13">
        <v>940</v>
      </c>
      <c r="M23" s="12">
        <v>17</v>
      </c>
      <c r="N23" s="12" t="s">
        <v>20</v>
      </c>
      <c r="O23" s="13">
        <v>43</v>
      </c>
      <c r="P23" s="6" t="str">
        <f>VLOOKUP(E23,$V$10:$W$42,2,FALSE)</f>
        <v>SN</v>
      </c>
      <c r="Q23" s="6" t="str">
        <f>P23</f>
        <v>SN</v>
      </c>
      <c r="R23" s="6">
        <f>IF(P23="BW",VLOOKUP(P23,P24:R$26,3,FALSE)+1,0)</f>
        <v>0</v>
      </c>
      <c r="S23" s="6" t="str">
        <f>P23&amp;R23</f>
        <v>SN0</v>
      </c>
      <c r="T23">
        <f>D23</f>
        <v>14</v>
      </c>
      <c r="V23" t="s">
        <v>33</v>
      </c>
      <c r="W23" t="s">
        <v>52</v>
      </c>
    </row>
    <row r="24" spans="3:23" x14ac:dyDescent="0.35">
      <c r="D24" s="12">
        <v>15</v>
      </c>
      <c r="E24" s="12" t="s">
        <v>33</v>
      </c>
      <c r="F24" s="12">
        <v>30</v>
      </c>
      <c r="G24" s="12">
        <v>5</v>
      </c>
      <c r="H24" s="12">
        <v>1</v>
      </c>
      <c r="I24" s="12">
        <v>24</v>
      </c>
      <c r="J24" s="12">
        <v>790</v>
      </c>
      <c r="K24" s="12" t="s">
        <v>20</v>
      </c>
      <c r="L24" s="13">
        <v>894</v>
      </c>
      <c r="M24" s="12">
        <v>11</v>
      </c>
      <c r="N24" s="12" t="s">
        <v>20</v>
      </c>
      <c r="O24" s="13">
        <v>49</v>
      </c>
      <c r="P24" s="6" t="str">
        <f>VLOOKUP(E24,$V$10:$W$42,2,FALSE)</f>
        <v>BW</v>
      </c>
      <c r="Q24" s="6" t="str">
        <f>P24</f>
        <v>BW</v>
      </c>
      <c r="R24" s="6">
        <f>IF(P24="BW",VLOOKUP(P24,P25:R$26,3,FALSE)+1,0)</f>
        <v>1</v>
      </c>
      <c r="S24" s="6" t="str">
        <f>P24&amp;R24</f>
        <v>BW1</v>
      </c>
      <c r="T24">
        <f>D24</f>
        <v>15</v>
      </c>
      <c r="V24" t="s">
        <v>34</v>
      </c>
      <c r="W24" t="s">
        <v>53</v>
      </c>
    </row>
    <row r="25" spans="3:23" x14ac:dyDescent="0.35">
      <c r="D25" s="12">
        <v>16</v>
      </c>
      <c r="E25" s="12" t="s">
        <v>35</v>
      </c>
      <c r="F25" s="12">
        <v>30</v>
      </c>
      <c r="G25" s="12">
        <v>4</v>
      </c>
      <c r="H25" s="12">
        <v>2</v>
      </c>
      <c r="I25" s="12">
        <v>24</v>
      </c>
      <c r="J25" s="12">
        <v>927</v>
      </c>
      <c r="K25" s="12" t="s">
        <v>20</v>
      </c>
      <c r="L25" s="13">
        <v>1063</v>
      </c>
      <c r="M25" s="12">
        <v>10</v>
      </c>
      <c r="N25" s="12" t="s">
        <v>20</v>
      </c>
      <c r="O25" s="13">
        <v>50</v>
      </c>
      <c r="P25" s="6" t="str">
        <f>VLOOKUP(E25,$V$10:$W$42,2,FALSE)</f>
        <v>BY</v>
      </c>
      <c r="Q25" s="6" t="str">
        <f>P25</f>
        <v>BY</v>
      </c>
      <c r="R25" s="6">
        <f>IF(P25="BW",VLOOKUP(P25,P26:R$26,3,FALSE)+1,0)</f>
        <v>0</v>
      </c>
      <c r="S25" s="6" t="str">
        <f>P25&amp;R25</f>
        <v>BY0</v>
      </c>
      <c r="T25">
        <f>D25</f>
        <v>16</v>
      </c>
      <c r="V25" t="s">
        <v>35</v>
      </c>
      <c r="W25" t="s">
        <v>54</v>
      </c>
    </row>
    <row r="26" spans="3:23" x14ac:dyDescent="0.35">
      <c r="D26" s="12" t="s">
        <v>540</v>
      </c>
      <c r="E26" s="12" t="s">
        <v>540</v>
      </c>
      <c r="F26" s="12" t="s">
        <v>540</v>
      </c>
      <c r="G26" s="12" t="s">
        <v>540</v>
      </c>
      <c r="H26" s="12" t="s">
        <v>540</v>
      </c>
      <c r="I26" s="12" t="s">
        <v>540</v>
      </c>
      <c r="J26" s="12" t="s">
        <v>540</v>
      </c>
      <c r="K26" s="12" t="s">
        <v>540</v>
      </c>
      <c r="L26" s="13" t="s">
        <v>540</v>
      </c>
      <c r="M26" s="12" t="s">
        <v>540</v>
      </c>
      <c r="N26" s="12" t="s">
        <v>540</v>
      </c>
      <c r="O26" s="13" t="s">
        <v>540</v>
      </c>
      <c r="P26" s="6" t="s">
        <v>52</v>
      </c>
      <c r="Q26" s="6"/>
      <c r="R26" s="6">
        <v>0</v>
      </c>
    </row>
    <row r="27" spans="3:23" x14ac:dyDescent="0.35">
      <c r="C27" s="1" t="s">
        <v>502</v>
      </c>
      <c r="D27" s="12">
        <v>1</v>
      </c>
      <c r="E27" s="12" t="s">
        <v>36</v>
      </c>
      <c r="F27" s="12">
        <v>30</v>
      </c>
      <c r="G27" s="12">
        <v>29</v>
      </c>
      <c r="H27" s="12">
        <v>0</v>
      </c>
      <c r="I27" s="12">
        <v>1</v>
      </c>
      <c r="J27" s="12">
        <v>1154</v>
      </c>
      <c r="K27" s="12" t="s">
        <v>20</v>
      </c>
      <c r="L27" s="13">
        <v>919</v>
      </c>
      <c r="M27" s="12">
        <v>58</v>
      </c>
      <c r="N27" s="12" t="s">
        <v>20</v>
      </c>
      <c r="O27" s="13">
        <v>2</v>
      </c>
      <c r="T27">
        <f>D27</f>
        <v>1</v>
      </c>
      <c r="V27" t="s">
        <v>36</v>
      </c>
      <c r="W27" t="s">
        <v>55</v>
      </c>
    </row>
    <row r="28" spans="3:23" x14ac:dyDescent="0.35">
      <c r="D28" s="12">
        <v>2</v>
      </c>
      <c r="E28" s="12" t="s">
        <v>37</v>
      </c>
      <c r="F28" s="12">
        <v>30</v>
      </c>
      <c r="G28" s="12">
        <v>26</v>
      </c>
      <c r="H28" s="12">
        <v>1</v>
      </c>
      <c r="I28" s="12">
        <v>3</v>
      </c>
      <c r="J28" s="12">
        <v>1070</v>
      </c>
      <c r="K28" s="12" t="s">
        <v>20</v>
      </c>
      <c r="L28" s="13">
        <v>832</v>
      </c>
      <c r="M28" s="12">
        <v>53</v>
      </c>
      <c r="N28" s="12" t="s">
        <v>20</v>
      </c>
      <c r="O28" s="13">
        <v>7</v>
      </c>
      <c r="P28" s="6" t="str">
        <f>VLOOKUP(E28,$V$10:$W$42,2,FALSE)</f>
        <v>HVW</v>
      </c>
      <c r="Q28" s="11" t="str">
        <f t="shared" ref="Q28:Q42" si="1">IF(D28&lt;F$5,"",P28)</f>
        <v/>
      </c>
      <c r="T28">
        <f t="shared" ref="T28:T42" si="2">D28</f>
        <v>2</v>
      </c>
      <c r="V28" t="s">
        <v>37</v>
      </c>
      <c r="W28" t="s">
        <v>0</v>
      </c>
    </row>
    <row r="29" spans="3:23" x14ac:dyDescent="0.35">
      <c r="D29" s="12">
        <v>3</v>
      </c>
      <c r="E29" s="12" t="s">
        <v>38</v>
      </c>
      <c r="F29" s="12">
        <v>30</v>
      </c>
      <c r="G29" s="12">
        <v>26</v>
      </c>
      <c r="H29" s="12">
        <v>0</v>
      </c>
      <c r="I29" s="12">
        <v>4</v>
      </c>
      <c r="J29" s="12">
        <v>1010</v>
      </c>
      <c r="K29" s="12" t="s">
        <v>20</v>
      </c>
      <c r="L29" s="13">
        <v>871</v>
      </c>
      <c r="M29" s="12">
        <v>52</v>
      </c>
      <c r="N29" s="12" t="s">
        <v>20</v>
      </c>
      <c r="O29" s="13">
        <v>8</v>
      </c>
      <c r="P29" s="6" t="str">
        <f t="shared" ref="P29:P42" si="3">VLOOKUP(E29,$V$10:$W$42,2,FALSE)</f>
        <v>HVW</v>
      </c>
      <c r="Q29" s="11" t="str">
        <f t="shared" si="1"/>
        <v/>
      </c>
      <c r="R29" s="6">
        <f>VLOOKUP(P29,P30:R$45,3,FALSE)+1</f>
        <v>10</v>
      </c>
      <c r="S29" s="6" t="str">
        <f t="shared" ref="S29:S42" si="4">Q29&amp;R29</f>
        <v>10</v>
      </c>
      <c r="T29">
        <f t="shared" si="2"/>
        <v>3</v>
      </c>
      <c r="V29" t="s">
        <v>38</v>
      </c>
      <c r="W29" t="s">
        <v>0</v>
      </c>
    </row>
    <row r="30" spans="3:23" x14ac:dyDescent="0.35">
      <c r="D30" s="12">
        <v>4</v>
      </c>
      <c r="E30" s="12" t="s">
        <v>40</v>
      </c>
      <c r="F30" s="12">
        <v>30</v>
      </c>
      <c r="G30" s="12">
        <v>17</v>
      </c>
      <c r="H30" s="12">
        <v>0</v>
      </c>
      <c r="I30" s="12">
        <v>13</v>
      </c>
      <c r="J30" s="12">
        <v>963</v>
      </c>
      <c r="K30" s="12" t="s">
        <v>20</v>
      </c>
      <c r="L30" s="13">
        <v>927</v>
      </c>
      <c r="M30" s="12">
        <v>34</v>
      </c>
      <c r="N30" s="12" t="s">
        <v>20</v>
      </c>
      <c r="O30" s="13">
        <v>26</v>
      </c>
      <c r="P30" s="6" t="str">
        <f t="shared" si="3"/>
        <v>HVW</v>
      </c>
      <c r="Q30" s="11" t="str">
        <f t="shared" si="1"/>
        <v/>
      </c>
      <c r="R30" s="6">
        <f>VLOOKUP(P30,P31:R$45,3,FALSE)+1</f>
        <v>9</v>
      </c>
      <c r="S30" s="6" t="str">
        <f t="shared" si="4"/>
        <v>9</v>
      </c>
      <c r="T30">
        <f t="shared" si="2"/>
        <v>4</v>
      </c>
      <c r="V30" t="s">
        <v>39</v>
      </c>
      <c r="W30" t="s">
        <v>0</v>
      </c>
    </row>
    <row r="31" spans="3:23" x14ac:dyDescent="0.35">
      <c r="D31" s="12">
        <v>5</v>
      </c>
      <c r="E31" s="12" t="s">
        <v>41</v>
      </c>
      <c r="F31" s="12">
        <v>30</v>
      </c>
      <c r="G31" s="12">
        <v>17</v>
      </c>
      <c r="H31" s="12">
        <v>0</v>
      </c>
      <c r="I31" s="12">
        <v>13</v>
      </c>
      <c r="J31" s="12">
        <v>1042</v>
      </c>
      <c r="K31" s="12" t="s">
        <v>20</v>
      </c>
      <c r="L31" s="13">
        <v>984</v>
      </c>
      <c r="M31" s="12">
        <v>34</v>
      </c>
      <c r="N31" s="12" t="s">
        <v>20</v>
      </c>
      <c r="O31" s="13">
        <v>26</v>
      </c>
      <c r="P31" s="6" t="str">
        <f t="shared" si="3"/>
        <v>HVW</v>
      </c>
      <c r="Q31" s="11" t="str">
        <f t="shared" si="1"/>
        <v/>
      </c>
      <c r="R31" s="6">
        <f>VLOOKUP(P31,P32:R$45,3,FALSE)+1</f>
        <v>8</v>
      </c>
      <c r="S31" s="6" t="str">
        <f t="shared" si="4"/>
        <v>8</v>
      </c>
      <c r="T31">
        <f t="shared" si="2"/>
        <v>5</v>
      </c>
      <c r="V31" t="s">
        <v>40</v>
      </c>
      <c r="W31" t="s">
        <v>0</v>
      </c>
    </row>
    <row r="32" spans="3:23" x14ac:dyDescent="0.35">
      <c r="D32" s="12">
        <v>6</v>
      </c>
      <c r="E32" s="12" t="s">
        <v>39</v>
      </c>
      <c r="F32" s="12">
        <v>30</v>
      </c>
      <c r="G32" s="12">
        <v>15</v>
      </c>
      <c r="H32" s="12">
        <v>2</v>
      </c>
      <c r="I32" s="12">
        <v>13</v>
      </c>
      <c r="J32" s="12">
        <v>938</v>
      </c>
      <c r="K32" s="12" t="s">
        <v>20</v>
      </c>
      <c r="L32" s="13">
        <v>925</v>
      </c>
      <c r="M32" s="12">
        <v>32</v>
      </c>
      <c r="N32" s="12" t="s">
        <v>20</v>
      </c>
      <c r="O32" s="13">
        <v>28</v>
      </c>
      <c r="P32" s="6" t="str">
        <f t="shared" si="3"/>
        <v>HVW</v>
      </c>
      <c r="Q32" s="11" t="str">
        <f t="shared" si="1"/>
        <v/>
      </c>
      <c r="R32" s="6">
        <f>VLOOKUP(P32,P33:R$45,3,FALSE)+1</f>
        <v>7</v>
      </c>
      <c r="S32" s="6" t="str">
        <f t="shared" si="4"/>
        <v>7</v>
      </c>
      <c r="T32">
        <f t="shared" si="2"/>
        <v>6</v>
      </c>
      <c r="V32" t="s">
        <v>41</v>
      </c>
      <c r="W32" t="s">
        <v>0</v>
      </c>
    </row>
    <row r="33" spans="2:23" x14ac:dyDescent="0.35">
      <c r="D33" s="12">
        <v>7</v>
      </c>
      <c r="E33" s="12" t="s">
        <v>43</v>
      </c>
      <c r="F33" s="12">
        <v>30</v>
      </c>
      <c r="G33" s="12">
        <v>14</v>
      </c>
      <c r="H33" s="12">
        <v>3</v>
      </c>
      <c r="I33" s="12">
        <v>13</v>
      </c>
      <c r="J33" s="12">
        <v>983</v>
      </c>
      <c r="K33" s="12" t="s">
        <v>20</v>
      </c>
      <c r="L33" s="13">
        <v>948</v>
      </c>
      <c r="M33" s="12">
        <v>31</v>
      </c>
      <c r="N33" s="12" t="s">
        <v>20</v>
      </c>
      <c r="O33" s="13">
        <v>29</v>
      </c>
      <c r="P33" s="6" t="str">
        <f t="shared" si="3"/>
        <v>HVW</v>
      </c>
      <c r="Q33" s="11" t="str">
        <f t="shared" si="1"/>
        <v/>
      </c>
      <c r="R33" s="6">
        <f>VLOOKUP(P33,P34:R$45,3,FALSE)+1</f>
        <v>6</v>
      </c>
      <c r="S33" s="6" t="str">
        <f t="shared" si="4"/>
        <v>6</v>
      </c>
      <c r="T33">
        <f t="shared" si="2"/>
        <v>7</v>
      </c>
      <c r="V33" t="s">
        <v>42</v>
      </c>
      <c r="W33" t="s">
        <v>56</v>
      </c>
    </row>
    <row r="34" spans="2:23" x14ac:dyDescent="0.35">
      <c r="D34" s="12">
        <v>8</v>
      </c>
      <c r="E34" s="12" t="s">
        <v>44</v>
      </c>
      <c r="F34" s="12">
        <v>30</v>
      </c>
      <c r="G34" s="12">
        <v>14</v>
      </c>
      <c r="H34" s="12">
        <v>3</v>
      </c>
      <c r="I34" s="12">
        <v>13</v>
      </c>
      <c r="J34" s="12">
        <v>928</v>
      </c>
      <c r="K34" s="12" t="s">
        <v>20</v>
      </c>
      <c r="L34" s="13">
        <v>906</v>
      </c>
      <c r="M34" s="12">
        <v>31</v>
      </c>
      <c r="N34" s="12" t="s">
        <v>20</v>
      </c>
      <c r="O34" s="13">
        <v>29</v>
      </c>
      <c r="P34" s="6" t="str">
        <f t="shared" si="3"/>
        <v>SHV</v>
      </c>
      <c r="Q34" s="11" t="str">
        <f t="shared" si="1"/>
        <v/>
      </c>
      <c r="R34" s="6">
        <f>VLOOKUP(P34,P35:R$45,3,FALSE)+1</f>
        <v>2</v>
      </c>
      <c r="S34" s="6" t="str">
        <f t="shared" si="4"/>
        <v>2</v>
      </c>
      <c r="T34">
        <f t="shared" si="2"/>
        <v>8</v>
      </c>
      <c r="V34" t="s">
        <v>43</v>
      </c>
      <c r="W34" t="s">
        <v>0</v>
      </c>
    </row>
    <row r="35" spans="2:23" x14ac:dyDescent="0.35">
      <c r="D35" s="12">
        <v>9</v>
      </c>
      <c r="E35" s="12" t="s">
        <v>45</v>
      </c>
      <c r="F35" s="12">
        <v>30</v>
      </c>
      <c r="G35" s="12">
        <v>12</v>
      </c>
      <c r="H35" s="12">
        <v>4</v>
      </c>
      <c r="I35" s="12">
        <v>14</v>
      </c>
      <c r="J35" s="12">
        <v>933</v>
      </c>
      <c r="K35" s="12" t="s">
        <v>20</v>
      </c>
      <c r="L35" s="13">
        <v>991</v>
      </c>
      <c r="M35" s="12">
        <v>28</v>
      </c>
      <c r="N35" s="12" t="s">
        <v>20</v>
      </c>
      <c r="O35" s="13">
        <v>32</v>
      </c>
      <c r="P35" s="6" t="str">
        <f t="shared" si="3"/>
        <v>HVW</v>
      </c>
      <c r="Q35" s="11" t="str">
        <f t="shared" si="1"/>
        <v/>
      </c>
      <c r="R35" s="6">
        <f>VLOOKUP(P35,P36:R$45,3,FALSE)+1</f>
        <v>5</v>
      </c>
      <c r="S35" s="6" t="str">
        <f t="shared" si="4"/>
        <v>5</v>
      </c>
      <c r="T35">
        <f t="shared" si="2"/>
        <v>9</v>
      </c>
      <c r="V35" t="s">
        <v>44</v>
      </c>
      <c r="W35" t="s">
        <v>55</v>
      </c>
    </row>
    <row r="36" spans="2:23" x14ac:dyDescent="0.35">
      <c r="D36" s="12">
        <v>10</v>
      </c>
      <c r="E36" s="12" t="s">
        <v>42</v>
      </c>
      <c r="F36" s="12">
        <v>30</v>
      </c>
      <c r="G36" s="12">
        <v>13</v>
      </c>
      <c r="H36" s="12">
        <v>2</v>
      </c>
      <c r="I36" s="12">
        <v>15</v>
      </c>
      <c r="J36" s="12">
        <v>881</v>
      </c>
      <c r="K36" s="12" t="s">
        <v>20</v>
      </c>
      <c r="L36" s="13">
        <v>952</v>
      </c>
      <c r="M36" s="12">
        <v>28</v>
      </c>
      <c r="N36" s="12" t="s">
        <v>20</v>
      </c>
      <c r="O36" s="13">
        <v>32</v>
      </c>
      <c r="P36" s="6" t="str">
        <f t="shared" si="3"/>
        <v>BHV</v>
      </c>
      <c r="Q36" s="11" t="str">
        <f t="shared" si="1"/>
        <v/>
      </c>
      <c r="R36" s="6">
        <f>VLOOKUP(P36,P37:R$45,3,FALSE)+1</f>
        <v>2</v>
      </c>
      <c r="S36" s="6" t="str">
        <f t="shared" si="4"/>
        <v>2</v>
      </c>
      <c r="T36">
        <f t="shared" si="2"/>
        <v>10</v>
      </c>
      <c r="V36" t="s">
        <v>45</v>
      </c>
      <c r="W36" t="s">
        <v>0</v>
      </c>
    </row>
    <row r="37" spans="2:23" x14ac:dyDescent="0.35">
      <c r="D37" s="12">
        <v>11</v>
      </c>
      <c r="E37" s="12" t="s">
        <v>46</v>
      </c>
      <c r="F37" s="12">
        <v>30</v>
      </c>
      <c r="G37" s="12">
        <v>10</v>
      </c>
      <c r="H37" s="12">
        <v>2</v>
      </c>
      <c r="I37" s="12">
        <v>18</v>
      </c>
      <c r="J37" s="12">
        <v>877</v>
      </c>
      <c r="K37" s="12" t="s">
        <v>20</v>
      </c>
      <c r="L37" s="13">
        <v>937</v>
      </c>
      <c r="M37" s="12">
        <v>22</v>
      </c>
      <c r="N37" s="12" t="s">
        <v>20</v>
      </c>
      <c r="O37" s="13">
        <v>38</v>
      </c>
      <c r="P37" s="6" t="str">
        <f t="shared" si="3"/>
        <v>HVW</v>
      </c>
      <c r="Q37" s="11" t="str">
        <f t="shared" si="1"/>
        <v/>
      </c>
      <c r="R37" s="6">
        <f>VLOOKUP(P37,P38:R$45,3,FALSE)+1</f>
        <v>4</v>
      </c>
      <c r="S37" s="6" t="str">
        <f t="shared" si="4"/>
        <v>4</v>
      </c>
      <c r="T37">
        <f t="shared" si="2"/>
        <v>11</v>
      </c>
      <c r="V37" t="s">
        <v>46</v>
      </c>
      <c r="W37" t="s">
        <v>0</v>
      </c>
    </row>
    <row r="38" spans="2:23" x14ac:dyDescent="0.35">
      <c r="D38" s="12">
        <v>12</v>
      </c>
      <c r="E38" s="12" t="s">
        <v>47</v>
      </c>
      <c r="F38" s="12">
        <v>30</v>
      </c>
      <c r="G38" s="12">
        <v>9</v>
      </c>
      <c r="H38" s="12">
        <v>2</v>
      </c>
      <c r="I38" s="12">
        <v>19</v>
      </c>
      <c r="J38" s="12">
        <v>934</v>
      </c>
      <c r="K38" s="12" t="s">
        <v>20</v>
      </c>
      <c r="L38" s="13">
        <v>1026</v>
      </c>
      <c r="M38" s="12">
        <v>20</v>
      </c>
      <c r="N38" s="12" t="s">
        <v>20</v>
      </c>
      <c r="O38" s="13">
        <v>40</v>
      </c>
      <c r="P38" s="6" t="str">
        <f t="shared" si="3"/>
        <v>HVW</v>
      </c>
      <c r="Q38" s="11" t="str">
        <f t="shared" si="1"/>
        <v/>
      </c>
      <c r="R38" s="6">
        <f>VLOOKUP(P38,P39:R$45,3,FALSE)+1</f>
        <v>3</v>
      </c>
      <c r="S38" s="6" t="str">
        <f t="shared" si="4"/>
        <v>3</v>
      </c>
      <c r="T38">
        <f t="shared" si="2"/>
        <v>12</v>
      </c>
      <c r="V38" t="s">
        <v>47</v>
      </c>
      <c r="W38" t="s">
        <v>0</v>
      </c>
    </row>
    <row r="39" spans="2:23" x14ac:dyDescent="0.35">
      <c r="D39" s="12">
        <v>13</v>
      </c>
      <c r="E39" s="12" t="s">
        <v>48</v>
      </c>
      <c r="F39" s="12">
        <v>30</v>
      </c>
      <c r="G39" s="12">
        <v>9</v>
      </c>
      <c r="H39" s="12">
        <v>0</v>
      </c>
      <c r="I39" s="12">
        <v>21</v>
      </c>
      <c r="J39" s="12">
        <v>886</v>
      </c>
      <c r="K39" s="12" t="s">
        <v>20</v>
      </c>
      <c r="L39" s="13">
        <v>956</v>
      </c>
      <c r="M39" s="12">
        <v>18</v>
      </c>
      <c r="N39" s="12" t="s">
        <v>20</v>
      </c>
      <c r="O39" s="13">
        <v>42</v>
      </c>
      <c r="P39" s="6" t="str">
        <f t="shared" si="3"/>
        <v>HVW</v>
      </c>
      <c r="Q39" s="11" t="str">
        <f t="shared" si="1"/>
        <v/>
      </c>
      <c r="R39" s="6">
        <f>VLOOKUP(P39,P40:R$45,3,FALSE)+1</f>
        <v>2</v>
      </c>
      <c r="S39" s="6" t="str">
        <f t="shared" si="4"/>
        <v>2</v>
      </c>
      <c r="T39">
        <f t="shared" si="2"/>
        <v>13</v>
      </c>
      <c r="V39" t="s">
        <v>48</v>
      </c>
      <c r="W39" t="s">
        <v>0</v>
      </c>
    </row>
    <row r="40" spans="2:23" x14ac:dyDescent="0.35">
      <c r="D40" s="12">
        <v>14</v>
      </c>
      <c r="E40" s="12" t="s">
        <v>49</v>
      </c>
      <c r="F40" s="12">
        <v>30</v>
      </c>
      <c r="G40" s="12">
        <v>8</v>
      </c>
      <c r="H40" s="12">
        <v>2</v>
      </c>
      <c r="I40" s="12">
        <v>20</v>
      </c>
      <c r="J40" s="12">
        <v>935</v>
      </c>
      <c r="K40" s="12" t="s">
        <v>20</v>
      </c>
      <c r="L40" s="13">
        <v>1082</v>
      </c>
      <c r="M40" s="12">
        <v>18</v>
      </c>
      <c r="N40" s="12" t="s">
        <v>20</v>
      </c>
      <c r="O40" s="13">
        <v>42</v>
      </c>
      <c r="P40" s="6" t="str">
        <f t="shared" si="3"/>
        <v>BHV</v>
      </c>
      <c r="Q40" s="11" t="str">
        <f t="shared" si="1"/>
        <v>BHV</v>
      </c>
      <c r="R40" s="6">
        <f>VLOOKUP(P40,P41:R$45,3,FALSE)+1</f>
        <v>1</v>
      </c>
      <c r="S40" s="6" t="str">
        <f t="shared" si="4"/>
        <v>BHV1</v>
      </c>
      <c r="T40">
        <f t="shared" si="2"/>
        <v>14</v>
      </c>
      <c r="V40" t="s">
        <v>49</v>
      </c>
      <c r="W40" t="s">
        <v>56</v>
      </c>
    </row>
    <row r="41" spans="2:23" x14ac:dyDescent="0.35">
      <c r="D41" s="12">
        <v>15</v>
      </c>
      <c r="E41" s="12" t="s">
        <v>51</v>
      </c>
      <c r="F41" s="12">
        <v>30</v>
      </c>
      <c r="G41" s="12">
        <v>6</v>
      </c>
      <c r="H41" s="12">
        <v>3</v>
      </c>
      <c r="I41" s="12">
        <v>21</v>
      </c>
      <c r="J41" s="12">
        <v>883</v>
      </c>
      <c r="K41" s="12" t="s">
        <v>20</v>
      </c>
      <c r="L41" s="13">
        <v>1019</v>
      </c>
      <c r="M41" s="12">
        <v>15</v>
      </c>
      <c r="N41" s="12" t="s">
        <v>20</v>
      </c>
      <c r="O41" s="13">
        <v>45</v>
      </c>
      <c r="P41" s="6" t="str">
        <f t="shared" si="3"/>
        <v>HVW</v>
      </c>
      <c r="Q41" s="11" t="str">
        <f t="shared" si="1"/>
        <v>HVW</v>
      </c>
      <c r="R41" s="6">
        <f>VLOOKUP(P41,P42:R$45,3,FALSE)+1</f>
        <v>1</v>
      </c>
      <c r="S41" s="6" t="str">
        <f t="shared" si="4"/>
        <v>HVW1</v>
      </c>
      <c r="T41">
        <f t="shared" si="2"/>
        <v>15</v>
      </c>
      <c r="V41" t="s">
        <v>50</v>
      </c>
      <c r="W41" t="s">
        <v>55</v>
      </c>
    </row>
    <row r="42" spans="2:23" x14ac:dyDescent="0.35">
      <c r="D42" s="12">
        <v>16</v>
      </c>
      <c r="E42" s="12" t="s">
        <v>50</v>
      </c>
      <c r="F42" s="12">
        <v>30</v>
      </c>
      <c r="G42" s="12">
        <v>3</v>
      </c>
      <c r="H42" s="12">
        <v>0</v>
      </c>
      <c r="I42" s="12">
        <v>27</v>
      </c>
      <c r="J42" s="12">
        <v>879</v>
      </c>
      <c r="K42" s="12" t="s">
        <v>20</v>
      </c>
      <c r="L42" s="13">
        <v>1021</v>
      </c>
      <c r="M42" s="12">
        <v>6</v>
      </c>
      <c r="N42" s="12" t="s">
        <v>20</v>
      </c>
      <c r="O42" s="13">
        <v>54</v>
      </c>
      <c r="P42" s="6" t="str">
        <f t="shared" si="3"/>
        <v>SHV</v>
      </c>
      <c r="Q42" s="11" t="str">
        <f t="shared" si="1"/>
        <v>SHV</v>
      </c>
      <c r="R42" s="6">
        <f>VLOOKUP(P42,P43:R$45,3,FALSE)+1</f>
        <v>1</v>
      </c>
      <c r="S42" s="6" t="str">
        <f t="shared" si="4"/>
        <v>SHV1</v>
      </c>
      <c r="T42">
        <f t="shared" si="2"/>
        <v>16</v>
      </c>
      <c r="V42" t="s">
        <v>51</v>
      </c>
      <c r="W42" t="s">
        <v>0</v>
      </c>
    </row>
    <row r="43" spans="2:23" x14ac:dyDescent="0.35">
      <c r="D43" t="s">
        <v>540</v>
      </c>
      <c r="E43" t="s">
        <v>540</v>
      </c>
      <c r="F43" t="s">
        <v>540</v>
      </c>
      <c r="G43" t="s">
        <v>540</v>
      </c>
      <c r="H43" t="s">
        <v>540</v>
      </c>
      <c r="I43" t="s">
        <v>540</v>
      </c>
      <c r="J43" t="s">
        <v>540</v>
      </c>
      <c r="K43" t="s">
        <v>540</v>
      </c>
      <c r="L43" s="4" t="s">
        <v>540</v>
      </c>
      <c r="M43" t="s">
        <v>540</v>
      </c>
      <c r="N43" t="s">
        <v>540</v>
      </c>
      <c r="O43" s="4" t="s">
        <v>540</v>
      </c>
      <c r="P43" s="6" t="s">
        <v>56</v>
      </c>
      <c r="Q43" s="6"/>
      <c r="R43" s="6">
        <v>0</v>
      </c>
      <c r="S43" s="6"/>
    </row>
    <row r="44" spans="2:23" x14ac:dyDescent="0.35">
      <c r="D44" t="s">
        <v>540</v>
      </c>
      <c r="E44" t="s">
        <v>540</v>
      </c>
      <c r="F44" t="s">
        <v>540</v>
      </c>
      <c r="G44" t="s">
        <v>540</v>
      </c>
      <c r="H44" t="s">
        <v>540</v>
      </c>
      <c r="I44" t="s">
        <v>540</v>
      </c>
      <c r="J44" t="s">
        <v>540</v>
      </c>
      <c r="K44" t="s">
        <v>540</v>
      </c>
      <c r="L44" s="4" t="s">
        <v>540</v>
      </c>
      <c r="M44" t="s">
        <v>540</v>
      </c>
      <c r="N44" t="s">
        <v>540</v>
      </c>
      <c r="O44" s="4" t="s">
        <v>540</v>
      </c>
      <c r="P44" s="6" t="s">
        <v>55</v>
      </c>
      <c r="Q44" s="6"/>
      <c r="R44" s="6">
        <v>0</v>
      </c>
      <c r="S44" s="6"/>
    </row>
    <row r="45" spans="2:23" x14ac:dyDescent="0.35">
      <c r="D45" t="s">
        <v>540</v>
      </c>
      <c r="E45" t="s">
        <v>540</v>
      </c>
      <c r="F45" t="s">
        <v>540</v>
      </c>
      <c r="G45" t="s">
        <v>540</v>
      </c>
      <c r="H45" t="s">
        <v>540</v>
      </c>
      <c r="I45" t="s">
        <v>540</v>
      </c>
      <c r="J45" t="s">
        <v>540</v>
      </c>
      <c r="K45" t="s">
        <v>540</v>
      </c>
      <c r="L45" s="4" t="s">
        <v>540</v>
      </c>
      <c r="M45" t="s">
        <v>540</v>
      </c>
      <c r="N45" t="s">
        <v>540</v>
      </c>
      <c r="O45" s="4" t="s">
        <v>540</v>
      </c>
      <c r="P45" s="6" t="s">
        <v>0</v>
      </c>
      <c r="Q45" s="6"/>
      <c r="R45" s="6">
        <v>0</v>
      </c>
      <c r="S45" s="6"/>
    </row>
    <row r="46" spans="2:23" x14ac:dyDescent="0.35">
      <c r="D46" t="s">
        <v>540</v>
      </c>
      <c r="E46" t="s">
        <v>540</v>
      </c>
      <c r="F46" t="s">
        <v>540</v>
      </c>
      <c r="G46" t="s">
        <v>540</v>
      </c>
      <c r="H46" t="s">
        <v>540</v>
      </c>
      <c r="I46" t="s">
        <v>540</v>
      </c>
      <c r="J46" t="s">
        <v>540</v>
      </c>
      <c r="K46" t="s">
        <v>540</v>
      </c>
      <c r="L46" t="s">
        <v>540</v>
      </c>
      <c r="M46" t="s">
        <v>540</v>
      </c>
      <c r="N46" t="s">
        <v>540</v>
      </c>
      <c r="O46" t="s">
        <v>540</v>
      </c>
    </row>
    <row r="47" spans="2:23" x14ac:dyDescent="0.35">
      <c r="B47" s="1" t="s">
        <v>276</v>
      </c>
      <c r="C47" s="1" t="s">
        <v>503</v>
      </c>
      <c r="D47" s="12">
        <v>1</v>
      </c>
      <c r="E47" s="12" t="s">
        <v>480</v>
      </c>
      <c r="F47" s="12">
        <v>22</v>
      </c>
      <c r="G47" s="12">
        <v>18</v>
      </c>
      <c r="H47" s="12">
        <v>1</v>
      </c>
      <c r="I47" s="12">
        <v>3</v>
      </c>
      <c r="J47" s="12">
        <v>612</v>
      </c>
      <c r="K47" s="12" t="s">
        <v>20</v>
      </c>
      <c r="L47" s="13">
        <v>468</v>
      </c>
      <c r="M47" s="12">
        <v>37</v>
      </c>
      <c r="N47" s="12" t="s">
        <v>20</v>
      </c>
      <c r="O47" s="13">
        <v>7</v>
      </c>
      <c r="P47" t="str">
        <f t="shared" ref="P47:P58" si="5">VLOOKUP(E47,$V$47:$W$73,2,FALSE)</f>
        <v>BW</v>
      </c>
      <c r="R47" s="6"/>
      <c r="V47" t="s">
        <v>480</v>
      </c>
      <c r="W47" t="s">
        <v>52</v>
      </c>
    </row>
    <row r="48" spans="2:23" x14ac:dyDescent="0.35">
      <c r="D48" s="12">
        <v>2</v>
      </c>
      <c r="E48" s="12" t="s">
        <v>88</v>
      </c>
      <c r="F48" s="12">
        <v>22</v>
      </c>
      <c r="G48" s="12">
        <v>14</v>
      </c>
      <c r="H48" s="12">
        <v>3</v>
      </c>
      <c r="I48" s="12">
        <v>5</v>
      </c>
      <c r="J48" s="12">
        <v>675</v>
      </c>
      <c r="K48" s="12" t="s">
        <v>20</v>
      </c>
      <c r="L48" s="13">
        <v>625</v>
      </c>
      <c r="M48" s="12">
        <v>31</v>
      </c>
      <c r="N48" s="12" t="s">
        <v>20</v>
      </c>
      <c r="O48" s="13">
        <v>13</v>
      </c>
      <c r="P48" t="str">
        <f t="shared" si="5"/>
        <v>BW</v>
      </c>
      <c r="R48" s="6"/>
      <c r="V48" t="s">
        <v>88</v>
      </c>
      <c r="W48" t="s">
        <v>52</v>
      </c>
    </row>
    <row r="49" spans="3:23" x14ac:dyDescent="0.35">
      <c r="D49" s="12">
        <v>3</v>
      </c>
      <c r="E49" s="12" t="s">
        <v>93</v>
      </c>
      <c r="F49" s="12">
        <v>22</v>
      </c>
      <c r="G49" s="12">
        <v>14</v>
      </c>
      <c r="H49" s="12">
        <v>2</v>
      </c>
      <c r="I49" s="12">
        <v>6</v>
      </c>
      <c r="J49" s="12">
        <v>652</v>
      </c>
      <c r="K49" s="12" t="s">
        <v>20</v>
      </c>
      <c r="L49" s="13">
        <v>594</v>
      </c>
      <c r="M49" s="12">
        <v>30</v>
      </c>
      <c r="N49" s="12" t="s">
        <v>20</v>
      </c>
      <c r="O49" s="13">
        <v>14</v>
      </c>
      <c r="P49" t="str">
        <f t="shared" si="5"/>
        <v>BW</v>
      </c>
      <c r="R49" s="6"/>
      <c r="V49" t="s">
        <v>481</v>
      </c>
      <c r="W49" t="s">
        <v>54</v>
      </c>
    </row>
    <row r="50" spans="3:23" x14ac:dyDescent="0.35">
      <c r="D50" s="12">
        <v>4</v>
      </c>
      <c r="E50" s="12" t="s">
        <v>357</v>
      </c>
      <c r="F50" s="12">
        <v>22</v>
      </c>
      <c r="G50" s="12">
        <v>14</v>
      </c>
      <c r="H50" s="12">
        <v>0</v>
      </c>
      <c r="I50" s="12">
        <v>8</v>
      </c>
      <c r="J50" s="12">
        <v>649</v>
      </c>
      <c r="K50" s="12" t="s">
        <v>20</v>
      </c>
      <c r="L50" s="13">
        <v>636</v>
      </c>
      <c r="M50" s="12">
        <v>28</v>
      </c>
      <c r="N50" s="12" t="s">
        <v>20</v>
      </c>
      <c r="O50" s="13">
        <v>16</v>
      </c>
      <c r="P50" t="str">
        <f t="shared" si="5"/>
        <v>BW</v>
      </c>
      <c r="R50" s="6"/>
      <c r="V50" t="s">
        <v>482</v>
      </c>
      <c r="W50" t="s">
        <v>483</v>
      </c>
    </row>
    <row r="51" spans="3:23" x14ac:dyDescent="0.35">
      <c r="D51" s="12">
        <v>5</v>
      </c>
      <c r="E51" s="12" t="s">
        <v>485</v>
      </c>
      <c r="F51" s="12">
        <v>22</v>
      </c>
      <c r="G51" s="12">
        <v>13</v>
      </c>
      <c r="H51" s="12">
        <v>1</v>
      </c>
      <c r="I51" s="12">
        <v>8</v>
      </c>
      <c r="J51" s="12">
        <v>698</v>
      </c>
      <c r="K51" s="12" t="s">
        <v>20</v>
      </c>
      <c r="L51" s="13">
        <v>656</v>
      </c>
      <c r="M51" s="12">
        <v>27</v>
      </c>
      <c r="N51" s="12" t="s">
        <v>20</v>
      </c>
      <c r="O51" s="13">
        <v>17</v>
      </c>
      <c r="P51" t="str">
        <f t="shared" si="5"/>
        <v>BY</v>
      </c>
      <c r="R51" s="6"/>
      <c r="V51" t="s">
        <v>93</v>
      </c>
      <c r="W51" t="s">
        <v>52</v>
      </c>
    </row>
    <row r="52" spans="3:23" x14ac:dyDescent="0.35">
      <c r="D52" s="12">
        <v>6</v>
      </c>
      <c r="E52" s="12" t="s">
        <v>481</v>
      </c>
      <c r="F52" s="12">
        <v>22</v>
      </c>
      <c r="G52" s="12">
        <v>11</v>
      </c>
      <c r="H52" s="12">
        <v>2</v>
      </c>
      <c r="I52" s="12">
        <v>9</v>
      </c>
      <c r="J52" s="12">
        <v>686</v>
      </c>
      <c r="K52" s="12" t="s">
        <v>20</v>
      </c>
      <c r="L52" s="13">
        <v>659</v>
      </c>
      <c r="M52" s="12">
        <v>24</v>
      </c>
      <c r="N52" s="12" t="s">
        <v>20</v>
      </c>
      <c r="O52" s="13">
        <v>20</v>
      </c>
      <c r="P52" t="str">
        <f t="shared" si="5"/>
        <v>BY</v>
      </c>
      <c r="R52" s="6"/>
      <c r="V52" t="s">
        <v>357</v>
      </c>
      <c r="W52" t="s">
        <v>52</v>
      </c>
    </row>
    <row r="53" spans="3:23" x14ac:dyDescent="0.35">
      <c r="D53" s="12">
        <v>7</v>
      </c>
      <c r="E53" s="12" t="s">
        <v>484</v>
      </c>
      <c r="F53" s="12">
        <v>22</v>
      </c>
      <c r="G53" s="12">
        <v>11</v>
      </c>
      <c r="H53" s="12">
        <v>1</v>
      </c>
      <c r="I53" s="12">
        <v>10</v>
      </c>
      <c r="J53" s="12">
        <v>604</v>
      </c>
      <c r="K53" s="12" t="s">
        <v>20</v>
      </c>
      <c r="L53" s="13">
        <v>601</v>
      </c>
      <c r="M53" s="12">
        <v>23</v>
      </c>
      <c r="N53" s="12" t="s">
        <v>20</v>
      </c>
      <c r="O53" s="13">
        <v>21</v>
      </c>
      <c r="P53" t="str">
        <f t="shared" si="5"/>
        <v>BY</v>
      </c>
      <c r="R53" s="6"/>
      <c r="V53" t="s">
        <v>484</v>
      </c>
      <c r="W53" t="s">
        <v>54</v>
      </c>
    </row>
    <row r="54" spans="3:23" x14ac:dyDescent="0.35">
      <c r="D54" s="12">
        <v>8</v>
      </c>
      <c r="E54" s="12" t="s">
        <v>482</v>
      </c>
      <c r="F54" s="12">
        <v>22</v>
      </c>
      <c r="G54" s="12">
        <v>11</v>
      </c>
      <c r="H54" s="12">
        <v>1</v>
      </c>
      <c r="I54" s="12">
        <v>10</v>
      </c>
      <c r="J54" s="12">
        <v>663</v>
      </c>
      <c r="K54" s="12" t="s">
        <v>20</v>
      </c>
      <c r="L54" s="13">
        <v>693</v>
      </c>
      <c r="M54" s="12">
        <v>23</v>
      </c>
      <c r="N54" s="12" t="s">
        <v>20</v>
      </c>
      <c r="O54" s="13">
        <v>21</v>
      </c>
      <c r="P54" t="str">
        <f t="shared" si="5"/>
        <v>RPS</v>
      </c>
      <c r="R54" s="6"/>
      <c r="V54" t="s">
        <v>485</v>
      </c>
      <c r="W54" t="s">
        <v>54</v>
      </c>
    </row>
    <row r="55" spans="3:23" x14ac:dyDescent="0.35">
      <c r="D55" s="12">
        <v>9</v>
      </c>
      <c r="E55" s="12" t="s">
        <v>486</v>
      </c>
      <c r="F55" s="12">
        <v>22</v>
      </c>
      <c r="G55" s="12">
        <v>6</v>
      </c>
      <c r="H55" s="12">
        <v>6</v>
      </c>
      <c r="I55" s="12">
        <v>10</v>
      </c>
      <c r="J55" s="12">
        <v>638</v>
      </c>
      <c r="K55" s="12" t="s">
        <v>20</v>
      </c>
      <c r="L55" s="13">
        <v>623</v>
      </c>
      <c r="M55" s="12">
        <v>18</v>
      </c>
      <c r="N55" s="12" t="s">
        <v>20</v>
      </c>
      <c r="O55" s="13">
        <v>26</v>
      </c>
      <c r="P55" t="str">
        <f t="shared" si="5"/>
        <v>BW</v>
      </c>
      <c r="R55" s="6"/>
      <c r="V55" t="s">
        <v>486</v>
      </c>
      <c r="W55" t="s">
        <v>52</v>
      </c>
    </row>
    <row r="56" spans="3:23" x14ac:dyDescent="0.35">
      <c r="D56" s="12">
        <v>10</v>
      </c>
      <c r="E56" s="12" t="s">
        <v>345</v>
      </c>
      <c r="F56" s="12">
        <v>22</v>
      </c>
      <c r="G56" s="12">
        <v>4</v>
      </c>
      <c r="H56" s="12">
        <v>3</v>
      </c>
      <c r="I56" s="12">
        <v>15</v>
      </c>
      <c r="J56" s="12">
        <v>595</v>
      </c>
      <c r="K56" s="12" t="s">
        <v>20</v>
      </c>
      <c r="L56" s="13">
        <v>676</v>
      </c>
      <c r="M56" s="12">
        <v>11</v>
      </c>
      <c r="N56" s="12" t="s">
        <v>20</v>
      </c>
      <c r="O56" s="13">
        <v>33</v>
      </c>
      <c r="P56" t="str">
        <f t="shared" si="5"/>
        <v>BW</v>
      </c>
      <c r="R56" s="6"/>
      <c r="S56" s="6"/>
      <c r="V56" t="s">
        <v>487</v>
      </c>
      <c r="W56" t="s">
        <v>52</v>
      </c>
    </row>
    <row r="57" spans="3:23" x14ac:dyDescent="0.35">
      <c r="D57" s="12">
        <v>11</v>
      </c>
      <c r="E57" s="12" t="s">
        <v>487</v>
      </c>
      <c r="F57" s="12">
        <v>22</v>
      </c>
      <c r="G57" s="12">
        <v>3</v>
      </c>
      <c r="H57" s="12">
        <v>3</v>
      </c>
      <c r="I57" s="12">
        <v>16</v>
      </c>
      <c r="J57" s="12">
        <v>560</v>
      </c>
      <c r="K57" s="12" t="s">
        <v>20</v>
      </c>
      <c r="L57" s="13">
        <v>646</v>
      </c>
      <c r="M57" s="12">
        <v>9</v>
      </c>
      <c r="N57" s="12" t="s">
        <v>20</v>
      </c>
      <c r="O57" s="13">
        <v>35</v>
      </c>
      <c r="P57" t="str">
        <f t="shared" si="5"/>
        <v>BW</v>
      </c>
      <c r="Q57" t="str">
        <f>P57</f>
        <v>BW</v>
      </c>
      <c r="R57" s="6">
        <f>IF(Q57="BW",VLOOKUP(P57,P58:R$59,3,FALSE)+1,0)</f>
        <v>1</v>
      </c>
      <c r="S57" s="6" t="str">
        <f>Q57&amp;R57</f>
        <v>BW1</v>
      </c>
      <c r="T57">
        <f>D57</f>
        <v>11</v>
      </c>
      <c r="V57" t="s">
        <v>345</v>
      </c>
      <c r="W57" t="s">
        <v>52</v>
      </c>
    </row>
    <row r="58" spans="3:23" x14ac:dyDescent="0.35">
      <c r="D58" s="12">
        <v>12</v>
      </c>
      <c r="E58" s="12" t="s">
        <v>488</v>
      </c>
      <c r="F58" s="12">
        <v>22</v>
      </c>
      <c r="G58" s="12">
        <v>1</v>
      </c>
      <c r="H58" s="12">
        <v>1</v>
      </c>
      <c r="I58" s="12">
        <v>20</v>
      </c>
      <c r="J58" s="12">
        <v>558</v>
      </c>
      <c r="K58" s="12" t="s">
        <v>20</v>
      </c>
      <c r="L58" s="13">
        <v>713</v>
      </c>
      <c r="M58" s="12">
        <v>3</v>
      </c>
      <c r="N58" s="12" t="s">
        <v>20</v>
      </c>
      <c r="O58" s="13">
        <v>41</v>
      </c>
      <c r="P58" t="str">
        <f t="shared" si="5"/>
        <v>BY</v>
      </c>
      <c r="Q58" t="str">
        <f>P58</f>
        <v>BY</v>
      </c>
      <c r="R58" s="6">
        <f>IF(Q58="BW",VLOOKUP(P58,P59:R$59,3,FALSE)+1,0)</f>
        <v>0</v>
      </c>
      <c r="S58" s="6" t="str">
        <f>Q58&amp;R58</f>
        <v>BY0</v>
      </c>
      <c r="T58">
        <f>D58</f>
        <v>12</v>
      </c>
      <c r="V58" t="s">
        <v>488</v>
      </c>
      <c r="W58" t="s">
        <v>54</v>
      </c>
    </row>
    <row r="59" spans="3:23" x14ac:dyDescent="0.35">
      <c r="D59" s="12" t="s">
        <v>540</v>
      </c>
      <c r="E59" s="12" t="s">
        <v>540</v>
      </c>
      <c r="F59" s="12" t="s">
        <v>540</v>
      </c>
      <c r="G59" s="12" t="s">
        <v>540</v>
      </c>
      <c r="H59" s="12" t="s">
        <v>540</v>
      </c>
      <c r="I59" s="12" t="s">
        <v>540</v>
      </c>
      <c r="J59" s="12" t="s">
        <v>540</v>
      </c>
      <c r="K59" s="12" t="s">
        <v>540</v>
      </c>
      <c r="L59" s="13" t="s">
        <v>540</v>
      </c>
      <c r="M59" s="12" t="s">
        <v>540</v>
      </c>
      <c r="N59" s="12" t="s">
        <v>540</v>
      </c>
      <c r="O59" s="13" t="s">
        <v>540</v>
      </c>
      <c r="P59" t="s">
        <v>52</v>
      </c>
      <c r="R59">
        <v>0</v>
      </c>
    </row>
    <row r="60" spans="3:23" x14ac:dyDescent="0.35">
      <c r="C60" s="1" t="s">
        <v>504</v>
      </c>
      <c r="D60" s="12">
        <v>1</v>
      </c>
      <c r="E60" s="12" t="s">
        <v>50</v>
      </c>
      <c r="F60" s="12">
        <v>24</v>
      </c>
      <c r="G60" s="12">
        <v>22</v>
      </c>
      <c r="H60" s="12">
        <v>0</v>
      </c>
      <c r="I60" s="12">
        <v>2</v>
      </c>
      <c r="J60" s="12">
        <v>758</v>
      </c>
      <c r="K60" s="12" t="s">
        <v>20</v>
      </c>
      <c r="L60" s="13">
        <v>608</v>
      </c>
      <c r="M60" s="12">
        <v>44</v>
      </c>
      <c r="N60" s="12" t="s">
        <v>20</v>
      </c>
      <c r="O60" s="13">
        <v>4</v>
      </c>
      <c r="P60" s="6" t="str">
        <f t="shared" ref="P60:P73" si="6">VLOOKUP(E60,$V$47:$W$73,2,FALSE)</f>
        <v>SHV</v>
      </c>
      <c r="Q60" s="6" t="str">
        <f t="shared" ref="Q60:Q73" si="7">IF(D60&lt;I$5,IF(D60&lt;J$5,"","Puf"),P60)</f>
        <v/>
      </c>
      <c r="T60">
        <f>D60</f>
        <v>1</v>
      </c>
      <c r="V60" t="s">
        <v>489</v>
      </c>
      <c r="W60" t="s">
        <v>0</v>
      </c>
    </row>
    <row r="61" spans="3:23" x14ac:dyDescent="0.35">
      <c r="D61" s="12">
        <v>2</v>
      </c>
      <c r="E61" s="12" t="s">
        <v>489</v>
      </c>
      <c r="F61" s="12">
        <v>24</v>
      </c>
      <c r="G61" s="12">
        <v>21</v>
      </c>
      <c r="H61" s="12">
        <v>0</v>
      </c>
      <c r="I61" s="12">
        <v>3</v>
      </c>
      <c r="J61" s="12">
        <v>731</v>
      </c>
      <c r="K61" s="12" t="s">
        <v>20</v>
      </c>
      <c r="L61" s="13">
        <v>541</v>
      </c>
      <c r="M61" s="12">
        <v>42</v>
      </c>
      <c r="N61" s="12" t="s">
        <v>20</v>
      </c>
      <c r="O61" s="13">
        <v>6</v>
      </c>
      <c r="P61" s="6" t="str">
        <f t="shared" si="6"/>
        <v>HVW</v>
      </c>
      <c r="Q61" s="6" t="str">
        <f t="shared" si="7"/>
        <v/>
      </c>
      <c r="T61">
        <f t="shared" ref="T61:T73" si="8">D61</f>
        <v>2</v>
      </c>
      <c r="V61" t="s">
        <v>50</v>
      </c>
      <c r="W61" t="s">
        <v>55</v>
      </c>
    </row>
    <row r="62" spans="3:23" x14ac:dyDescent="0.35">
      <c r="D62" s="12">
        <v>3</v>
      </c>
      <c r="E62" s="12" t="s">
        <v>490</v>
      </c>
      <c r="F62" s="12">
        <v>24</v>
      </c>
      <c r="G62" s="12">
        <v>17</v>
      </c>
      <c r="H62" s="12">
        <v>0</v>
      </c>
      <c r="I62" s="12">
        <v>7</v>
      </c>
      <c r="J62" s="12">
        <v>650</v>
      </c>
      <c r="K62" s="12" t="s">
        <v>20</v>
      </c>
      <c r="L62" s="13">
        <v>603</v>
      </c>
      <c r="M62" s="12">
        <v>34</v>
      </c>
      <c r="N62" s="12" t="s">
        <v>20</v>
      </c>
      <c r="O62" s="13">
        <v>14</v>
      </c>
      <c r="P62" s="6" t="str">
        <f t="shared" si="6"/>
        <v>HVW</v>
      </c>
      <c r="Q62" s="6" t="str">
        <f t="shared" si="7"/>
        <v/>
      </c>
      <c r="R62" s="6" t="e">
        <f>VLOOKUP(Q62,Q63:R$77,2,FALSE)+1</f>
        <v>#N/A</v>
      </c>
      <c r="S62" s="6" t="e">
        <f t="shared" ref="S62:S72" si="9">Q62&amp;R62</f>
        <v>#N/A</v>
      </c>
      <c r="T62">
        <f t="shared" si="8"/>
        <v>3</v>
      </c>
      <c r="V62" t="s">
        <v>490</v>
      </c>
      <c r="W62" t="s">
        <v>0</v>
      </c>
    </row>
    <row r="63" spans="3:23" x14ac:dyDescent="0.35">
      <c r="D63" s="12">
        <v>4</v>
      </c>
      <c r="E63" s="12" t="s">
        <v>491</v>
      </c>
      <c r="F63" s="12">
        <v>24</v>
      </c>
      <c r="G63" s="12">
        <v>13</v>
      </c>
      <c r="H63" s="12">
        <v>2</v>
      </c>
      <c r="I63" s="12">
        <v>9</v>
      </c>
      <c r="J63" s="12">
        <v>680</v>
      </c>
      <c r="K63" s="12" t="s">
        <v>20</v>
      </c>
      <c r="L63" s="13">
        <v>658</v>
      </c>
      <c r="M63" s="12">
        <v>28</v>
      </c>
      <c r="N63" s="12" t="s">
        <v>20</v>
      </c>
      <c r="O63" s="13">
        <v>20</v>
      </c>
      <c r="P63" s="6" t="str">
        <f t="shared" si="6"/>
        <v>HVW</v>
      </c>
      <c r="Q63" s="6" t="str">
        <f t="shared" si="7"/>
        <v/>
      </c>
      <c r="R63" s="6" t="e">
        <f>VLOOKUP(Q63,Q64:R$77,2,FALSE)+1</f>
        <v>#N/A</v>
      </c>
      <c r="S63" s="6" t="e">
        <f t="shared" si="9"/>
        <v>#N/A</v>
      </c>
      <c r="T63">
        <f t="shared" si="8"/>
        <v>4</v>
      </c>
      <c r="V63" t="s">
        <v>491</v>
      </c>
      <c r="W63" t="s">
        <v>0</v>
      </c>
    </row>
    <row r="64" spans="3:23" x14ac:dyDescent="0.35">
      <c r="D64" s="12">
        <v>5</v>
      </c>
      <c r="E64" s="12" t="s">
        <v>100</v>
      </c>
      <c r="F64" s="12">
        <v>24</v>
      </c>
      <c r="G64" s="12">
        <v>12</v>
      </c>
      <c r="H64" s="12">
        <v>1</v>
      </c>
      <c r="I64" s="12">
        <v>11</v>
      </c>
      <c r="J64" s="12">
        <v>721</v>
      </c>
      <c r="K64" s="12" t="s">
        <v>20</v>
      </c>
      <c r="L64" s="13">
        <v>648</v>
      </c>
      <c r="M64" s="12">
        <v>25</v>
      </c>
      <c r="N64" s="12" t="s">
        <v>20</v>
      </c>
      <c r="O64" s="13">
        <v>23</v>
      </c>
      <c r="P64" s="6" t="str">
        <f t="shared" si="6"/>
        <v>HVW</v>
      </c>
      <c r="Q64" s="6" t="str">
        <f t="shared" si="7"/>
        <v/>
      </c>
      <c r="R64" s="6" t="e">
        <f>VLOOKUP(Q64,Q65:R$77,2,FALSE)+1</f>
        <v>#N/A</v>
      </c>
      <c r="S64" s="6" t="e">
        <f t="shared" si="9"/>
        <v>#N/A</v>
      </c>
      <c r="T64">
        <f t="shared" si="8"/>
        <v>5</v>
      </c>
      <c r="V64" t="s">
        <v>227</v>
      </c>
      <c r="W64" t="s">
        <v>0</v>
      </c>
    </row>
    <row r="65" spans="4:23" x14ac:dyDescent="0.35">
      <c r="D65" s="12">
        <v>6</v>
      </c>
      <c r="E65" s="12" t="s">
        <v>227</v>
      </c>
      <c r="F65" s="12">
        <v>24</v>
      </c>
      <c r="G65" s="12">
        <v>9</v>
      </c>
      <c r="H65" s="12">
        <v>4</v>
      </c>
      <c r="I65" s="12">
        <v>11</v>
      </c>
      <c r="J65" s="12">
        <v>598</v>
      </c>
      <c r="K65" s="12" t="s">
        <v>20</v>
      </c>
      <c r="L65" s="13">
        <v>619</v>
      </c>
      <c r="M65" s="12">
        <v>22</v>
      </c>
      <c r="N65" s="12" t="s">
        <v>20</v>
      </c>
      <c r="O65" s="13">
        <v>26</v>
      </c>
      <c r="P65" s="6" t="str">
        <f t="shared" si="6"/>
        <v>HVW</v>
      </c>
      <c r="Q65" s="6" t="str">
        <f t="shared" si="7"/>
        <v/>
      </c>
      <c r="R65" s="6" t="e">
        <f>VLOOKUP(Q65,Q66:R$77,2,FALSE)+1</f>
        <v>#N/A</v>
      </c>
      <c r="S65" s="6" t="e">
        <f t="shared" si="9"/>
        <v>#N/A</v>
      </c>
      <c r="T65">
        <f t="shared" si="8"/>
        <v>6</v>
      </c>
      <c r="V65" t="s">
        <v>100</v>
      </c>
      <c r="W65" t="s">
        <v>0</v>
      </c>
    </row>
    <row r="66" spans="4:23" x14ac:dyDescent="0.35">
      <c r="D66" s="12">
        <v>7</v>
      </c>
      <c r="E66" s="12" t="s">
        <v>351</v>
      </c>
      <c r="F66" s="12">
        <v>24</v>
      </c>
      <c r="G66" s="12">
        <v>9</v>
      </c>
      <c r="H66" s="12">
        <v>4</v>
      </c>
      <c r="I66" s="12">
        <v>11</v>
      </c>
      <c r="J66" s="12">
        <v>657</v>
      </c>
      <c r="K66" s="12" t="s">
        <v>20</v>
      </c>
      <c r="L66" s="13">
        <v>682</v>
      </c>
      <c r="M66" s="12">
        <v>22</v>
      </c>
      <c r="N66" s="12" t="s">
        <v>20</v>
      </c>
      <c r="O66" s="13">
        <v>26</v>
      </c>
      <c r="P66" s="6" t="str">
        <f t="shared" si="6"/>
        <v>SHV</v>
      </c>
      <c r="Q66" s="6" t="str">
        <f t="shared" si="7"/>
        <v/>
      </c>
      <c r="R66" s="6" t="e">
        <f>VLOOKUP(Q66,Q67:R$77,2,FALSE)+1</f>
        <v>#N/A</v>
      </c>
      <c r="S66" s="6" t="e">
        <f t="shared" si="9"/>
        <v>#N/A</v>
      </c>
      <c r="T66">
        <f t="shared" si="8"/>
        <v>7</v>
      </c>
      <c r="V66" t="s">
        <v>348</v>
      </c>
      <c r="W66" t="s">
        <v>56</v>
      </c>
    </row>
    <row r="67" spans="4:23" x14ac:dyDescent="0.35">
      <c r="D67" s="12">
        <v>8</v>
      </c>
      <c r="E67" s="12" t="s">
        <v>30</v>
      </c>
      <c r="F67" s="12">
        <v>24</v>
      </c>
      <c r="G67" s="12">
        <v>10</v>
      </c>
      <c r="H67" s="12">
        <v>2</v>
      </c>
      <c r="I67" s="12">
        <v>12</v>
      </c>
      <c r="J67" s="12">
        <v>698</v>
      </c>
      <c r="K67" s="12" t="s">
        <v>20</v>
      </c>
      <c r="L67" s="13">
        <v>717</v>
      </c>
      <c r="M67" s="12">
        <v>22</v>
      </c>
      <c r="N67" s="12" t="s">
        <v>20</v>
      </c>
      <c r="O67" s="13">
        <v>26</v>
      </c>
      <c r="P67" s="6" t="str">
        <f t="shared" si="6"/>
        <v>BHV</v>
      </c>
      <c r="Q67" s="6" t="str">
        <f t="shared" si="7"/>
        <v>Puf</v>
      </c>
      <c r="R67" s="6">
        <f>VLOOKUP(Q67,Q68:R$77,2,FALSE)+1</f>
        <v>2</v>
      </c>
      <c r="S67" s="6" t="str">
        <f t="shared" si="9"/>
        <v>Puf2</v>
      </c>
      <c r="T67">
        <f t="shared" si="8"/>
        <v>8</v>
      </c>
      <c r="V67" t="s">
        <v>351</v>
      </c>
      <c r="W67" t="s">
        <v>55</v>
      </c>
    </row>
    <row r="68" spans="4:23" x14ac:dyDescent="0.35">
      <c r="D68" s="12">
        <v>9</v>
      </c>
      <c r="E68" s="12" t="s">
        <v>95</v>
      </c>
      <c r="F68" s="12">
        <v>24</v>
      </c>
      <c r="G68" s="12">
        <v>9</v>
      </c>
      <c r="H68" s="12">
        <v>3</v>
      </c>
      <c r="I68" s="12">
        <v>12</v>
      </c>
      <c r="J68" s="12">
        <v>618</v>
      </c>
      <c r="K68" s="12" t="s">
        <v>20</v>
      </c>
      <c r="L68" s="13">
        <v>641</v>
      </c>
      <c r="M68" s="12">
        <v>21</v>
      </c>
      <c r="N68" s="12" t="s">
        <v>20</v>
      </c>
      <c r="O68" s="13">
        <v>27</v>
      </c>
      <c r="P68" s="6" t="str">
        <f t="shared" si="6"/>
        <v>HVW</v>
      </c>
      <c r="Q68" s="6" t="str">
        <f t="shared" si="7"/>
        <v>Puf</v>
      </c>
      <c r="R68" s="6">
        <f>VLOOKUP(Q68,Q69:R$77,2,FALSE)+1</f>
        <v>1</v>
      </c>
      <c r="S68" s="6" t="str">
        <f t="shared" si="9"/>
        <v>Puf1</v>
      </c>
      <c r="T68">
        <f t="shared" si="8"/>
        <v>9</v>
      </c>
      <c r="V68" t="s">
        <v>30</v>
      </c>
      <c r="W68" t="s">
        <v>56</v>
      </c>
    </row>
    <row r="69" spans="4:23" x14ac:dyDescent="0.35">
      <c r="D69" s="12">
        <v>10</v>
      </c>
      <c r="E69" s="12" t="s">
        <v>348</v>
      </c>
      <c r="F69" s="12">
        <v>24</v>
      </c>
      <c r="G69" s="12">
        <v>10</v>
      </c>
      <c r="H69" s="12">
        <v>1</v>
      </c>
      <c r="I69" s="12">
        <v>13</v>
      </c>
      <c r="J69" s="12">
        <v>672</v>
      </c>
      <c r="K69" s="12" t="s">
        <v>20</v>
      </c>
      <c r="L69" s="13">
        <v>635</v>
      </c>
      <c r="M69" s="12">
        <v>21</v>
      </c>
      <c r="N69" s="12" t="s">
        <v>20</v>
      </c>
      <c r="O69" s="13">
        <v>27</v>
      </c>
      <c r="P69" s="6" t="str">
        <f t="shared" si="6"/>
        <v>BHV</v>
      </c>
      <c r="Q69" s="6" t="str">
        <f t="shared" si="7"/>
        <v>BHV</v>
      </c>
      <c r="R69" s="6">
        <f>VLOOKUP(Q69,Q70:R$77,2,FALSE)+1</f>
        <v>1</v>
      </c>
      <c r="S69" s="6" t="str">
        <f t="shared" si="9"/>
        <v>BHV1</v>
      </c>
      <c r="T69">
        <f t="shared" si="8"/>
        <v>10</v>
      </c>
      <c r="V69" t="s">
        <v>95</v>
      </c>
      <c r="W69" t="s">
        <v>0</v>
      </c>
    </row>
    <row r="70" spans="4:23" x14ac:dyDescent="0.35">
      <c r="D70" s="12">
        <v>11</v>
      </c>
      <c r="E70" s="12" t="s">
        <v>43</v>
      </c>
      <c r="F70" s="12">
        <v>24</v>
      </c>
      <c r="G70" s="12">
        <v>8</v>
      </c>
      <c r="H70" s="12">
        <v>1</v>
      </c>
      <c r="I70" s="12">
        <v>15</v>
      </c>
      <c r="J70" s="12">
        <v>588</v>
      </c>
      <c r="K70" s="12" t="s">
        <v>20</v>
      </c>
      <c r="L70" s="13">
        <v>676</v>
      </c>
      <c r="M70" s="12">
        <v>17</v>
      </c>
      <c r="N70" s="12" t="s">
        <v>20</v>
      </c>
      <c r="O70" s="13">
        <v>31</v>
      </c>
      <c r="P70" s="6" t="str">
        <f t="shared" si="6"/>
        <v>HVW</v>
      </c>
      <c r="Q70" s="6" t="str">
        <f t="shared" si="7"/>
        <v>HVW</v>
      </c>
      <c r="R70" s="6">
        <f>VLOOKUP(Q70,Q71:R$77,2,FALSE)+1</f>
        <v>4</v>
      </c>
      <c r="S70" s="6" t="str">
        <f t="shared" si="9"/>
        <v>HVW4</v>
      </c>
      <c r="T70">
        <f t="shared" si="8"/>
        <v>11</v>
      </c>
      <c r="V70" t="s">
        <v>43</v>
      </c>
      <c r="W70" t="s">
        <v>0</v>
      </c>
    </row>
    <row r="71" spans="4:23" x14ac:dyDescent="0.35">
      <c r="D71" s="12">
        <v>12</v>
      </c>
      <c r="E71" s="12" t="s">
        <v>86</v>
      </c>
      <c r="F71" s="12">
        <v>24</v>
      </c>
      <c r="G71" s="12">
        <v>5</v>
      </c>
      <c r="H71" s="12">
        <v>2</v>
      </c>
      <c r="I71" s="12">
        <v>17</v>
      </c>
      <c r="J71" s="12">
        <v>596</v>
      </c>
      <c r="K71" s="12" t="s">
        <v>20</v>
      </c>
      <c r="L71" s="13">
        <v>669</v>
      </c>
      <c r="M71" s="12">
        <v>12</v>
      </c>
      <c r="N71" s="12" t="s">
        <v>20</v>
      </c>
      <c r="O71" s="13">
        <v>36</v>
      </c>
      <c r="P71" s="6" t="str">
        <f t="shared" si="6"/>
        <v>HVW</v>
      </c>
      <c r="Q71" s="6" t="str">
        <f t="shared" si="7"/>
        <v>HVW</v>
      </c>
      <c r="R71" s="6">
        <f>VLOOKUP(Q71,Q72:R$77,2,FALSE)+1</f>
        <v>3</v>
      </c>
      <c r="S71" s="6" t="str">
        <f t="shared" si="9"/>
        <v>HVW3</v>
      </c>
      <c r="T71">
        <f t="shared" si="8"/>
        <v>12</v>
      </c>
      <c r="V71" t="s">
        <v>86</v>
      </c>
      <c r="W71" t="s">
        <v>0</v>
      </c>
    </row>
    <row r="72" spans="4:23" x14ac:dyDescent="0.35">
      <c r="D72" s="12">
        <v>13</v>
      </c>
      <c r="E72" s="12" t="s">
        <v>194</v>
      </c>
      <c r="F72" s="12">
        <v>24</v>
      </c>
      <c r="G72" s="12">
        <v>1</v>
      </c>
      <c r="H72" s="12">
        <v>0</v>
      </c>
      <c r="I72" s="12">
        <v>23</v>
      </c>
      <c r="J72" s="12">
        <v>444</v>
      </c>
      <c r="K72" s="12" t="s">
        <v>20</v>
      </c>
      <c r="L72" s="13">
        <v>714</v>
      </c>
      <c r="M72" s="12">
        <v>2</v>
      </c>
      <c r="N72" s="12" t="s">
        <v>20</v>
      </c>
      <c r="O72" s="13">
        <v>46</v>
      </c>
      <c r="P72" s="6" t="str">
        <f t="shared" si="6"/>
        <v>HVW</v>
      </c>
      <c r="Q72" s="6" t="str">
        <f t="shared" si="7"/>
        <v>HVW</v>
      </c>
      <c r="R72" s="6">
        <f>VLOOKUP(Q72,Q73:R$77,2,FALSE)+1</f>
        <v>2</v>
      </c>
      <c r="S72" s="6" t="str">
        <f t="shared" si="9"/>
        <v>HVW2</v>
      </c>
      <c r="T72">
        <f t="shared" si="8"/>
        <v>13</v>
      </c>
      <c r="V72" t="s">
        <v>194</v>
      </c>
      <c r="W72" t="s">
        <v>0</v>
      </c>
    </row>
    <row r="73" spans="4:23" x14ac:dyDescent="0.35">
      <c r="D73" s="105">
        <v>14</v>
      </c>
      <c r="E73" s="105" t="s">
        <v>492</v>
      </c>
      <c r="F73" s="105">
        <v>19</v>
      </c>
      <c r="G73" s="105">
        <v>4</v>
      </c>
      <c r="H73" s="105">
        <v>1</v>
      </c>
      <c r="I73" s="105">
        <v>14</v>
      </c>
      <c r="J73" s="105">
        <v>435</v>
      </c>
      <c r="K73" s="105" t="s">
        <v>20</v>
      </c>
      <c r="L73" s="106">
        <v>489</v>
      </c>
      <c r="M73" s="105">
        <v>9</v>
      </c>
      <c r="N73" s="105" t="s">
        <v>20</v>
      </c>
      <c r="O73" s="106">
        <v>29</v>
      </c>
      <c r="P73" s="6" t="str">
        <f t="shared" si="6"/>
        <v>HVW</v>
      </c>
      <c r="Q73" s="6" t="str">
        <f t="shared" si="7"/>
        <v>HVW</v>
      </c>
      <c r="R73" s="6">
        <f>VLOOKUP(Q73,Q74:R$77,2,FALSE)+1</f>
        <v>1</v>
      </c>
      <c r="S73" s="6" t="str">
        <f>Q73&amp;R73</f>
        <v>HVW1</v>
      </c>
      <c r="T73">
        <f t="shared" si="8"/>
        <v>14</v>
      </c>
      <c r="V73" t="s">
        <v>492</v>
      </c>
      <c r="W73" t="s">
        <v>0</v>
      </c>
    </row>
    <row r="74" spans="4:23" x14ac:dyDescent="0.35">
      <c r="L74" s="4"/>
      <c r="O74" s="4"/>
      <c r="P74" s="6"/>
      <c r="Q74" s="6" t="s">
        <v>56</v>
      </c>
      <c r="R74" s="6">
        <v>0</v>
      </c>
      <c r="S74" s="6"/>
    </row>
    <row r="75" spans="4:23" x14ac:dyDescent="0.35">
      <c r="L75" s="4"/>
      <c r="O75" s="4"/>
      <c r="P75" s="6"/>
      <c r="Q75" s="6" t="s">
        <v>55</v>
      </c>
      <c r="R75" s="6">
        <v>0</v>
      </c>
      <c r="S75" s="6"/>
    </row>
    <row r="76" spans="4:23" x14ac:dyDescent="0.35">
      <c r="L76" s="4"/>
      <c r="O76" s="4"/>
      <c r="P76" s="6"/>
      <c r="Q76" s="6" t="s">
        <v>0</v>
      </c>
      <c r="R76" s="6">
        <v>0</v>
      </c>
      <c r="S76" s="6"/>
    </row>
    <row r="77" spans="4:23" x14ac:dyDescent="0.35">
      <c r="L77" s="4"/>
      <c r="O77" s="4"/>
      <c r="P77" s="9"/>
      <c r="Q77" s="9" t="s">
        <v>493</v>
      </c>
      <c r="R77" s="6">
        <v>0</v>
      </c>
      <c r="S77" s="6"/>
    </row>
    <row r="82" spans="12:15" x14ac:dyDescent="0.35">
      <c r="L82" s="4"/>
      <c r="O82" s="4"/>
    </row>
    <row r="85" spans="12:15" x14ac:dyDescent="0.35">
      <c r="L85" s="4"/>
      <c r="O85" s="4"/>
    </row>
    <row r="86" spans="12:15" x14ac:dyDescent="0.35">
      <c r="L86" s="4"/>
      <c r="O86" s="4"/>
    </row>
    <row r="87" spans="12:15" x14ac:dyDescent="0.35">
      <c r="L87" s="4"/>
      <c r="O87" s="4"/>
    </row>
    <row r="88" spans="12:15" x14ac:dyDescent="0.35">
      <c r="L88" s="4"/>
      <c r="O88" s="4"/>
    </row>
    <row r="89" spans="12:15" x14ac:dyDescent="0.35">
      <c r="L89" s="4"/>
      <c r="O89" s="4"/>
    </row>
    <row r="90" spans="12:15" x14ac:dyDescent="0.35">
      <c r="L90" s="4"/>
      <c r="O90" s="4"/>
    </row>
    <row r="91" spans="12:15" x14ac:dyDescent="0.35">
      <c r="L91" s="4"/>
      <c r="O91" s="4"/>
    </row>
    <row r="92" spans="12:15" x14ac:dyDescent="0.35">
      <c r="L92" s="4"/>
      <c r="O92" s="4"/>
    </row>
    <row r="93" spans="12:15" x14ac:dyDescent="0.35">
      <c r="L93" s="4"/>
      <c r="O93" s="4"/>
    </row>
    <row r="94" spans="12:15" x14ac:dyDescent="0.35">
      <c r="L94" s="4"/>
      <c r="O94" s="4"/>
    </row>
    <row r="95" spans="12:15" x14ac:dyDescent="0.35">
      <c r="L95" s="4"/>
      <c r="O95" s="4"/>
    </row>
    <row r="96" spans="12:15" x14ac:dyDescent="0.35">
      <c r="L96" s="4"/>
      <c r="O96" s="4"/>
    </row>
    <row r="97" spans="12:12" x14ac:dyDescent="0.35">
      <c r="L97" s="4"/>
    </row>
    <row r="98" spans="12:12" x14ac:dyDescent="0.35">
      <c r="L98" s="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2637-0D3C-45A9-8833-A2C17156BB89}">
  <dimension ref="A1:W377"/>
  <sheetViews>
    <sheetView topLeftCell="A209" workbookViewId="0">
      <selection activeCell="E227" sqref="E227"/>
    </sheetView>
  </sheetViews>
  <sheetFormatPr baseColWidth="10" defaultRowHeight="14.5" x14ac:dyDescent="0.35"/>
  <cols>
    <col min="1" max="1" width="3.6328125" customWidth="1"/>
    <col min="2" max="2" width="12" bestFit="1" customWidth="1"/>
    <col min="4" max="4" width="2.6328125" customWidth="1"/>
    <col min="5" max="5" width="32.7265625" bestFit="1" customWidth="1"/>
    <col min="6" max="10" width="4.6328125" customWidth="1"/>
    <col min="11" max="11" width="1.36328125" bestFit="1" customWidth="1"/>
    <col min="12" max="13" width="4.6328125" customWidth="1"/>
    <col min="14" max="14" width="1.36328125" bestFit="1" customWidth="1"/>
    <col min="15" max="15" width="3.6328125" customWidth="1"/>
    <col min="16" max="16" width="4.6328125" customWidth="1"/>
    <col min="17" max="17" width="10.54296875" customWidth="1"/>
    <col min="18" max="18" width="6.81640625" customWidth="1"/>
    <col min="19" max="19" width="10.81640625" customWidth="1"/>
    <col min="20" max="20" width="11" bestFit="1" customWidth="1"/>
    <col min="21" max="21" width="7.1796875" bestFit="1" customWidth="1"/>
    <col min="22" max="22" width="4.08984375" bestFit="1" customWidth="1"/>
    <col min="23" max="23" width="16.7265625" bestFit="1" customWidth="1"/>
  </cols>
  <sheetData>
    <row r="1" spans="1:23" x14ac:dyDescent="0.35">
      <c r="A1" s="17"/>
      <c r="B1" s="17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5" t="s">
        <v>198</v>
      </c>
      <c r="Q2" s="15" t="s">
        <v>199</v>
      </c>
      <c r="R2" s="15" t="s">
        <v>201</v>
      </c>
      <c r="S2" s="15" t="s">
        <v>564</v>
      </c>
      <c r="T2" s="15" t="s">
        <v>505</v>
      </c>
      <c r="U2" s="15" t="s">
        <v>203</v>
      </c>
      <c r="V2" s="15" t="s">
        <v>200</v>
      </c>
      <c r="W2" s="15" t="s">
        <v>521</v>
      </c>
    </row>
    <row r="3" spans="1:23" x14ac:dyDescent="0.35">
      <c r="A3" s="17"/>
      <c r="B3" s="16" t="s">
        <v>479</v>
      </c>
      <c r="C3" s="16" t="s">
        <v>506</v>
      </c>
      <c r="D3" s="18">
        <v>1</v>
      </c>
      <c r="E3" s="18" t="s">
        <v>83</v>
      </c>
      <c r="F3" s="18">
        <v>26</v>
      </c>
      <c r="G3" s="18">
        <v>17</v>
      </c>
      <c r="H3" s="18">
        <v>1</v>
      </c>
      <c r="I3" s="18">
        <v>8</v>
      </c>
      <c r="J3" s="18">
        <v>801</v>
      </c>
      <c r="K3" s="18" t="s">
        <v>20</v>
      </c>
      <c r="L3" s="19">
        <v>768</v>
      </c>
      <c r="M3" s="18">
        <v>35</v>
      </c>
      <c r="N3" s="18" t="s">
        <v>20</v>
      </c>
      <c r="O3" s="19">
        <v>17</v>
      </c>
      <c r="P3" s="17">
        <v>5</v>
      </c>
      <c r="Q3" s="17">
        <f>INT(40000*M3/F3)+100000*(99-D3+1000*(10-P3))</f>
        <v>509853846</v>
      </c>
      <c r="R3" s="17">
        <f>INT(1000*J3/F3)</f>
        <v>30807</v>
      </c>
      <c r="S3" s="17">
        <f>V3+1000*(INT(1000*(2000-L3)/F3))</f>
        <v>47384001</v>
      </c>
      <c r="T3" s="17">
        <f>RANK(S3,S$3:S$171)+1000*RANK(R3,R$3:R$171)+1000000*RANK(Q3,Q$3:Q$171)</f>
        <v>1031162</v>
      </c>
      <c r="U3" s="17">
        <f>RANK(T3,T$3:T$171,1)</f>
        <v>1</v>
      </c>
      <c r="V3" s="17">
        <v>1</v>
      </c>
      <c r="W3" s="17"/>
    </row>
    <row r="4" spans="1:23" x14ac:dyDescent="0.35">
      <c r="A4" s="17"/>
      <c r="B4" s="17"/>
      <c r="C4" s="16"/>
      <c r="D4" s="18">
        <v>2</v>
      </c>
      <c r="E4" s="18" t="s">
        <v>87</v>
      </c>
      <c r="F4" s="18">
        <v>26</v>
      </c>
      <c r="G4" s="18">
        <v>15</v>
      </c>
      <c r="H4" s="18">
        <v>4</v>
      </c>
      <c r="I4" s="18">
        <v>7</v>
      </c>
      <c r="J4" s="18">
        <v>720</v>
      </c>
      <c r="K4" s="18" t="s">
        <v>20</v>
      </c>
      <c r="L4" s="19">
        <v>698</v>
      </c>
      <c r="M4" s="18">
        <v>34</v>
      </c>
      <c r="N4" s="18" t="s">
        <v>20</v>
      </c>
      <c r="O4" s="19">
        <v>18</v>
      </c>
      <c r="P4" s="17">
        <v>5</v>
      </c>
      <c r="Q4" s="17">
        <f t="shared" ref="Q4:Q67" si="0">INT(40000*M4/F4)+100000*(99-D4+1000*(10-P4))</f>
        <v>509752307</v>
      </c>
      <c r="R4" s="17">
        <f t="shared" ref="R4:R67" si="1">INT(1000*J4/F4)</f>
        <v>27692</v>
      </c>
      <c r="S4" s="17">
        <f t="shared" ref="S4:S67" si="2">V4+1000*(INT(1000*(2000-L4)/F4))</f>
        <v>50076002</v>
      </c>
      <c r="T4" s="17">
        <f t="shared" ref="T4:T67" si="3">RANK(S4,S$3:S$171)+1000*RANK(R4,R$3:R$171)+1000000*RANK(Q4,Q$3:Q$171)</f>
        <v>2117156</v>
      </c>
      <c r="U4" s="17">
        <f t="shared" ref="U4:U67" si="4">RANK(T4,T$3:T$171,1)</f>
        <v>2</v>
      </c>
      <c r="V4" s="17">
        <f>+V3+1</f>
        <v>2</v>
      </c>
      <c r="W4" s="17"/>
    </row>
    <row r="5" spans="1:23" x14ac:dyDescent="0.35">
      <c r="A5" s="17"/>
      <c r="B5" s="17"/>
      <c r="C5" s="16"/>
      <c r="D5" s="18">
        <v>3</v>
      </c>
      <c r="E5" s="18" t="s">
        <v>84</v>
      </c>
      <c r="F5" s="18">
        <v>26</v>
      </c>
      <c r="G5" s="18">
        <v>14</v>
      </c>
      <c r="H5" s="18">
        <v>2</v>
      </c>
      <c r="I5" s="18">
        <v>10</v>
      </c>
      <c r="J5" s="18">
        <v>786</v>
      </c>
      <c r="K5" s="18" t="s">
        <v>20</v>
      </c>
      <c r="L5" s="19">
        <v>753</v>
      </c>
      <c r="M5" s="18">
        <v>30</v>
      </c>
      <c r="N5" s="18" t="s">
        <v>20</v>
      </c>
      <c r="O5" s="19">
        <v>22</v>
      </c>
      <c r="P5" s="17">
        <v>5</v>
      </c>
      <c r="Q5" s="17">
        <f t="shared" si="0"/>
        <v>509646153</v>
      </c>
      <c r="R5" s="17">
        <f t="shared" si="1"/>
        <v>30230</v>
      </c>
      <c r="S5" s="17">
        <f t="shared" si="2"/>
        <v>47961003</v>
      </c>
      <c r="T5" s="17">
        <f t="shared" si="3"/>
        <v>3047160</v>
      </c>
      <c r="U5" s="17">
        <f t="shared" si="4"/>
        <v>3</v>
      </c>
      <c r="V5" s="17">
        <f t="shared" ref="V5:V68" si="5">+V4+1</f>
        <v>3</v>
      </c>
      <c r="W5" s="17"/>
    </row>
    <row r="6" spans="1:23" x14ac:dyDescent="0.35">
      <c r="A6" s="17"/>
      <c r="B6" s="17"/>
      <c r="C6" s="16"/>
      <c r="D6" s="18">
        <v>4</v>
      </c>
      <c r="E6" s="18" t="s">
        <v>89</v>
      </c>
      <c r="F6" s="18">
        <v>26</v>
      </c>
      <c r="G6" s="18">
        <v>14</v>
      </c>
      <c r="H6" s="18">
        <v>1</v>
      </c>
      <c r="I6" s="18">
        <v>11</v>
      </c>
      <c r="J6" s="18">
        <v>770</v>
      </c>
      <c r="K6" s="18" t="s">
        <v>20</v>
      </c>
      <c r="L6" s="19">
        <v>744</v>
      </c>
      <c r="M6" s="18">
        <v>29</v>
      </c>
      <c r="N6" s="18" t="s">
        <v>20</v>
      </c>
      <c r="O6" s="19">
        <v>23</v>
      </c>
      <c r="P6" s="17">
        <v>5</v>
      </c>
      <c r="Q6" s="17">
        <f t="shared" si="0"/>
        <v>509544615</v>
      </c>
      <c r="R6" s="17">
        <f t="shared" si="1"/>
        <v>29615</v>
      </c>
      <c r="S6" s="17">
        <f t="shared" si="2"/>
        <v>48307004</v>
      </c>
      <c r="T6" s="17">
        <f t="shared" si="3"/>
        <v>4065159</v>
      </c>
      <c r="U6" s="17">
        <f t="shared" si="4"/>
        <v>4</v>
      </c>
      <c r="V6" s="17">
        <f t="shared" si="5"/>
        <v>4</v>
      </c>
      <c r="W6" s="17"/>
    </row>
    <row r="7" spans="1:23" x14ac:dyDescent="0.35">
      <c r="A7" s="17"/>
      <c r="B7" s="17"/>
      <c r="C7" s="16"/>
      <c r="D7" s="18">
        <v>5</v>
      </c>
      <c r="E7" s="18" t="s">
        <v>86</v>
      </c>
      <c r="F7" s="18">
        <v>26</v>
      </c>
      <c r="G7" s="18">
        <v>14</v>
      </c>
      <c r="H7" s="18">
        <v>1</v>
      </c>
      <c r="I7" s="18">
        <v>11</v>
      </c>
      <c r="J7" s="18">
        <v>831</v>
      </c>
      <c r="K7" s="18" t="s">
        <v>20</v>
      </c>
      <c r="L7" s="19">
        <v>815</v>
      </c>
      <c r="M7" s="18">
        <v>29</v>
      </c>
      <c r="N7" s="18" t="s">
        <v>20</v>
      </c>
      <c r="O7" s="19">
        <v>23</v>
      </c>
      <c r="P7" s="17">
        <v>5</v>
      </c>
      <c r="Q7" s="17">
        <f t="shared" si="0"/>
        <v>509444615</v>
      </c>
      <c r="R7" s="17">
        <f t="shared" si="1"/>
        <v>31961</v>
      </c>
      <c r="S7" s="17">
        <f t="shared" si="2"/>
        <v>45576005</v>
      </c>
      <c r="T7" s="17">
        <f t="shared" si="3"/>
        <v>5018167</v>
      </c>
      <c r="U7" s="17">
        <f t="shared" si="4"/>
        <v>5</v>
      </c>
      <c r="V7" s="17">
        <f t="shared" si="5"/>
        <v>5</v>
      </c>
      <c r="W7" s="17"/>
    </row>
    <row r="8" spans="1:23" x14ac:dyDescent="0.35">
      <c r="A8" s="17"/>
      <c r="B8" s="17"/>
      <c r="C8" s="16"/>
      <c r="D8" s="18">
        <v>6</v>
      </c>
      <c r="E8" s="18" t="s">
        <v>90</v>
      </c>
      <c r="F8" s="18">
        <v>26</v>
      </c>
      <c r="G8" s="18">
        <v>14</v>
      </c>
      <c r="H8" s="18">
        <v>0</v>
      </c>
      <c r="I8" s="18">
        <v>12</v>
      </c>
      <c r="J8" s="18">
        <v>795</v>
      </c>
      <c r="K8" s="18" t="s">
        <v>20</v>
      </c>
      <c r="L8" s="19">
        <v>769</v>
      </c>
      <c r="M8" s="18">
        <v>28</v>
      </c>
      <c r="N8" s="18" t="s">
        <v>20</v>
      </c>
      <c r="O8" s="19">
        <v>24</v>
      </c>
      <c r="P8" s="17">
        <v>5</v>
      </c>
      <c r="Q8" s="17">
        <f t="shared" si="0"/>
        <v>509343076</v>
      </c>
      <c r="R8" s="17">
        <f t="shared" si="1"/>
        <v>30576</v>
      </c>
      <c r="S8" s="17">
        <f t="shared" si="2"/>
        <v>47346006</v>
      </c>
      <c r="T8" s="17">
        <f t="shared" si="3"/>
        <v>6039163</v>
      </c>
      <c r="U8" s="17">
        <f t="shared" si="4"/>
        <v>6</v>
      </c>
      <c r="V8" s="17">
        <f t="shared" si="5"/>
        <v>6</v>
      </c>
      <c r="W8" s="17"/>
    </row>
    <row r="9" spans="1:23" x14ac:dyDescent="0.35">
      <c r="A9" s="17"/>
      <c r="B9" s="17"/>
      <c r="C9" s="16"/>
      <c r="D9" s="18">
        <v>7</v>
      </c>
      <c r="E9" s="18" t="s">
        <v>88</v>
      </c>
      <c r="F9" s="18">
        <v>26</v>
      </c>
      <c r="G9" s="18">
        <v>12</v>
      </c>
      <c r="H9" s="18">
        <v>3</v>
      </c>
      <c r="I9" s="18">
        <v>11</v>
      </c>
      <c r="J9" s="18">
        <v>771</v>
      </c>
      <c r="K9" s="18" t="s">
        <v>20</v>
      </c>
      <c r="L9" s="19">
        <v>761</v>
      </c>
      <c r="M9" s="18">
        <v>27</v>
      </c>
      <c r="N9" s="18" t="s">
        <v>20</v>
      </c>
      <c r="O9" s="19">
        <v>25</v>
      </c>
      <c r="P9" s="17">
        <v>5</v>
      </c>
      <c r="Q9" s="17">
        <f t="shared" si="0"/>
        <v>509241538</v>
      </c>
      <c r="R9" s="17">
        <f t="shared" si="1"/>
        <v>29653</v>
      </c>
      <c r="S9" s="17">
        <f t="shared" si="2"/>
        <v>47653007</v>
      </c>
      <c r="T9" s="17">
        <f t="shared" si="3"/>
        <v>7063161</v>
      </c>
      <c r="U9" s="17">
        <f t="shared" si="4"/>
        <v>7</v>
      </c>
      <c r="V9" s="17">
        <f t="shared" si="5"/>
        <v>7</v>
      </c>
      <c r="W9" s="17"/>
    </row>
    <row r="10" spans="1:23" x14ac:dyDescent="0.35">
      <c r="A10" s="17"/>
      <c r="B10" s="17"/>
      <c r="C10" s="16"/>
      <c r="D10" s="18">
        <v>8</v>
      </c>
      <c r="E10" s="18" t="s">
        <v>93</v>
      </c>
      <c r="F10" s="18">
        <v>26</v>
      </c>
      <c r="G10" s="18">
        <v>11</v>
      </c>
      <c r="H10" s="18">
        <v>3</v>
      </c>
      <c r="I10" s="18">
        <v>12</v>
      </c>
      <c r="J10" s="18">
        <v>743</v>
      </c>
      <c r="K10" s="18" t="s">
        <v>20</v>
      </c>
      <c r="L10" s="19">
        <v>736</v>
      </c>
      <c r="M10" s="18">
        <v>25</v>
      </c>
      <c r="N10" s="18" t="s">
        <v>20</v>
      </c>
      <c r="O10" s="19">
        <v>27</v>
      </c>
      <c r="P10" s="17">
        <v>5</v>
      </c>
      <c r="Q10" s="17">
        <f t="shared" si="0"/>
        <v>509138461</v>
      </c>
      <c r="R10" s="17">
        <f t="shared" si="1"/>
        <v>28576</v>
      </c>
      <c r="S10" s="17">
        <f t="shared" si="2"/>
        <v>48615008</v>
      </c>
      <c r="T10" s="17">
        <f t="shared" si="3"/>
        <v>8095158</v>
      </c>
      <c r="U10" s="17">
        <f t="shared" si="4"/>
        <v>8</v>
      </c>
      <c r="V10" s="17">
        <f t="shared" si="5"/>
        <v>8</v>
      </c>
      <c r="W10" s="17"/>
    </row>
    <row r="11" spans="1:23" x14ac:dyDescent="0.35">
      <c r="A11" s="17"/>
      <c r="B11" s="17"/>
      <c r="C11" s="16"/>
      <c r="D11" s="18">
        <v>9</v>
      </c>
      <c r="E11" s="18" t="s">
        <v>95</v>
      </c>
      <c r="F11" s="18">
        <v>26</v>
      </c>
      <c r="G11" s="18">
        <v>11</v>
      </c>
      <c r="H11" s="18">
        <v>3</v>
      </c>
      <c r="I11" s="18">
        <v>12</v>
      </c>
      <c r="J11" s="18">
        <v>734</v>
      </c>
      <c r="K11" s="18" t="s">
        <v>20</v>
      </c>
      <c r="L11" s="19">
        <v>717</v>
      </c>
      <c r="M11" s="18">
        <v>25</v>
      </c>
      <c r="N11" s="18" t="s">
        <v>20</v>
      </c>
      <c r="O11" s="19">
        <v>27</v>
      </c>
      <c r="P11" s="17">
        <v>5</v>
      </c>
      <c r="Q11" s="17">
        <f t="shared" si="0"/>
        <v>509038461</v>
      </c>
      <c r="R11" s="17">
        <f t="shared" si="1"/>
        <v>28230</v>
      </c>
      <c r="S11" s="17">
        <f t="shared" si="2"/>
        <v>49346009</v>
      </c>
      <c r="T11" s="17">
        <f t="shared" si="3"/>
        <v>9105157</v>
      </c>
      <c r="U11" s="17">
        <f t="shared" si="4"/>
        <v>9</v>
      </c>
      <c r="V11" s="17">
        <f t="shared" si="5"/>
        <v>9</v>
      </c>
      <c r="W11" s="17"/>
    </row>
    <row r="12" spans="1:23" x14ac:dyDescent="0.35">
      <c r="A12" s="17"/>
      <c r="B12" s="17"/>
      <c r="C12" s="16"/>
      <c r="D12" s="18">
        <v>10</v>
      </c>
      <c r="E12" s="18" t="s">
        <v>85</v>
      </c>
      <c r="F12" s="18">
        <v>26</v>
      </c>
      <c r="G12" s="18">
        <v>11</v>
      </c>
      <c r="H12" s="18">
        <v>2</v>
      </c>
      <c r="I12" s="18">
        <v>13</v>
      </c>
      <c r="J12" s="18">
        <v>781</v>
      </c>
      <c r="K12" s="18" t="s">
        <v>20</v>
      </c>
      <c r="L12" s="19">
        <v>818</v>
      </c>
      <c r="M12" s="18">
        <v>24</v>
      </c>
      <c r="N12" s="18" t="s">
        <v>20</v>
      </c>
      <c r="O12" s="19">
        <v>28</v>
      </c>
      <c r="P12" s="17">
        <v>5</v>
      </c>
      <c r="Q12" s="17">
        <f t="shared" si="0"/>
        <v>508936923</v>
      </c>
      <c r="R12" s="17">
        <f t="shared" si="1"/>
        <v>30038</v>
      </c>
      <c r="S12" s="17">
        <f t="shared" si="2"/>
        <v>45461010</v>
      </c>
      <c r="T12" s="17">
        <f t="shared" si="3"/>
        <v>10053168</v>
      </c>
      <c r="U12" s="17">
        <f t="shared" si="4"/>
        <v>10</v>
      </c>
      <c r="V12" s="17">
        <f t="shared" si="5"/>
        <v>10</v>
      </c>
      <c r="W12" s="17"/>
    </row>
    <row r="13" spans="1:23" x14ac:dyDescent="0.35">
      <c r="A13" s="17"/>
      <c r="B13" s="17"/>
      <c r="C13" s="16"/>
      <c r="D13" s="18">
        <v>11</v>
      </c>
      <c r="E13" s="18" t="s">
        <v>91</v>
      </c>
      <c r="F13" s="18">
        <v>26</v>
      </c>
      <c r="G13" s="18">
        <v>11</v>
      </c>
      <c r="H13" s="18">
        <v>2</v>
      </c>
      <c r="I13" s="18">
        <v>13</v>
      </c>
      <c r="J13" s="18">
        <v>794</v>
      </c>
      <c r="K13" s="18" t="s">
        <v>20</v>
      </c>
      <c r="L13" s="19">
        <v>802</v>
      </c>
      <c r="M13" s="18">
        <v>24</v>
      </c>
      <c r="N13" s="18" t="s">
        <v>20</v>
      </c>
      <c r="O13" s="19">
        <v>28</v>
      </c>
      <c r="P13" s="17">
        <v>5</v>
      </c>
      <c r="Q13" s="17">
        <f t="shared" si="0"/>
        <v>508836923</v>
      </c>
      <c r="R13" s="17">
        <f t="shared" si="1"/>
        <v>30538</v>
      </c>
      <c r="S13" s="17">
        <f t="shared" si="2"/>
        <v>46076011</v>
      </c>
      <c r="T13" s="17">
        <f t="shared" si="3"/>
        <v>11040165</v>
      </c>
      <c r="U13" s="17">
        <f t="shared" si="4"/>
        <v>11</v>
      </c>
      <c r="V13" s="17">
        <f t="shared" si="5"/>
        <v>11</v>
      </c>
      <c r="W13" s="17"/>
    </row>
    <row r="14" spans="1:23" x14ac:dyDescent="0.35">
      <c r="A14" s="17"/>
      <c r="B14" s="17"/>
      <c r="C14" s="16"/>
      <c r="D14" s="18">
        <v>12</v>
      </c>
      <c r="E14" s="18" t="s">
        <v>94</v>
      </c>
      <c r="F14" s="18">
        <v>26</v>
      </c>
      <c r="G14" s="18">
        <v>10</v>
      </c>
      <c r="H14" s="18">
        <v>2</v>
      </c>
      <c r="I14" s="18">
        <v>14</v>
      </c>
      <c r="J14" s="18">
        <v>783</v>
      </c>
      <c r="K14" s="18" t="s">
        <v>20</v>
      </c>
      <c r="L14" s="19">
        <v>792</v>
      </c>
      <c r="M14" s="18">
        <v>22</v>
      </c>
      <c r="N14" s="18" t="s">
        <v>20</v>
      </c>
      <c r="O14" s="19">
        <v>30</v>
      </c>
      <c r="P14" s="17">
        <v>5</v>
      </c>
      <c r="Q14" s="17">
        <f t="shared" si="0"/>
        <v>508733846</v>
      </c>
      <c r="R14" s="17">
        <f t="shared" si="1"/>
        <v>30115</v>
      </c>
      <c r="S14" s="17">
        <f t="shared" si="2"/>
        <v>46461012</v>
      </c>
      <c r="T14" s="17">
        <f t="shared" si="3"/>
        <v>12049164</v>
      </c>
      <c r="U14" s="17">
        <f t="shared" si="4"/>
        <v>12</v>
      </c>
      <c r="V14" s="17">
        <f t="shared" si="5"/>
        <v>12</v>
      </c>
      <c r="W14" s="17"/>
    </row>
    <row r="15" spans="1:23" x14ac:dyDescent="0.35">
      <c r="A15" s="17"/>
      <c r="B15" s="17"/>
      <c r="C15" s="16"/>
      <c r="D15" s="18">
        <v>13</v>
      </c>
      <c r="E15" s="18" t="s">
        <v>92</v>
      </c>
      <c r="F15" s="18">
        <v>26</v>
      </c>
      <c r="G15" s="18">
        <v>9</v>
      </c>
      <c r="H15" s="18">
        <v>2</v>
      </c>
      <c r="I15" s="18">
        <v>15</v>
      </c>
      <c r="J15" s="18">
        <v>764</v>
      </c>
      <c r="K15" s="18" t="s">
        <v>20</v>
      </c>
      <c r="L15" s="19">
        <v>804</v>
      </c>
      <c r="M15" s="18">
        <v>20</v>
      </c>
      <c r="N15" s="18" t="s">
        <v>20</v>
      </c>
      <c r="O15" s="19">
        <v>32</v>
      </c>
      <c r="P15" s="17">
        <v>5</v>
      </c>
      <c r="Q15" s="17">
        <f t="shared" si="0"/>
        <v>508630769</v>
      </c>
      <c r="R15" s="17">
        <f t="shared" si="1"/>
        <v>29384</v>
      </c>
      <c r="S15" s="17">
        <f t="shared" si="2"/>
        <v>46000013</v>
      </c>
      <c r="T15" s="17">
        <f t="shared" si="3"/>
        <v>13071166</v>
      </c>
      <c r="U15" s="17">
        <f t="shared" si="4"/>
        <v>13</v>
      </c>
      <c r="V15" s="17">
        <f t="shared" si="5"/>
        <v>13</v>
      </c>
      <c r="W15" s="17"/>
    </row>
    <row r="16" spans="1:23" x14ac:dyDescent="0.35">
      <c r="A16" s="17"/>
      <c r="B16" s="17"/>
      <c r="C16" s="16"/>
      <c r="D16" s="18">
        <v>14</v>
      </c>
      <c r="E16" s="18" t="s">
        <v>96</v>
      </c>
      <c r="F16" s="18">
        <v>26</v>
      </c>
      <c r="G16" s="18">
        <v>4</v>
      </c>
      <c r="H16" s="18">
        <v>4</v>
      </c>
      <c r="I16" s="18">
        <v>18</v>
      </c>
      <c r="J16" s="18">
        <v>723</v>
      </c>
      <c r="K16" s="18" t="s">
        <v>20</v>
      </c>
      <c r="L16" s="19">
        <v>819</v>
      </c>
      <c r="M16" s="18">
        <v>12</v>
      </c>
      <c r="N16" s="18" t="s">
        <v>20</v>
      </c>
      <c r="O16" s="19">
        <v>40</v>
      </c>
      <c r="P16" s="17">
        <v>5</v>
      </c>
      <c r="Q16" s="17">
        <f t="shared" si="0"/>
        <v>508518461</v>
      </c>
      <c r="R16" s="17">
        <f t="shared" si="1"/>
        <v>27807</v>
      </c>
      <c r="S16" s="17">
        <f t="shared" si="2"/>
        <v>45423014</v>
      </c>
      <c r="T16" s="17">
        <f t="shared" si="3"/>
        <v>14115169</v>
      </c>
      <c r="U16" s="17">
        <f t="shared" si="4"/>
        <v>14</v>
      </c>
      <c r="V16" s="17">
        <f t="shared" si="5"/>
        <v>14</v>
      </c>
      <c r="W16" s="17"/>
    </row>
    <row r="17" spans="1:23" x14ac:dyDescent="0.35">
      <c r="A17" s="17"/>
      <c r="B17" s="17"/>
      <c r="C17" s="16" t="s">
        <v>507</v>
      </c>
      <c r="D17" s="18">
        <v>1</v>
      </c>
      <c r="E17" s="18" t="s">
        <v>100</v>
      </c>
      <c r="F17" s="18">
        <v>22</v>
      </c>
      <c r="G17" s="18">
        <v>17</v>
      </c>
      <c r="H17" s="18">
        <v>0</v>
      </c>
      <c r="I17" s="18">
        <v>5</v>
      </c>
      <c r="J17" s="18">
        <v>759</v>
      </c>
      <c r="K17" s="18" t="s">
        <v>20</v>
      </c>
      <c r="L17" s="19">
        <v>684</v>
      </c>
      <c r="M17" s="18">
        <v>34</v>
      </c>
      <c r="N17" s="18" t="s">
        <v>20</v>
      </c>
      <c r="O17" s="19">
        <v>10</v>
      </c>
      <c r="P17" s="17">
        <v>6</v>
      </c>
      <c r="Q17" s="17">
        <f t="shared" si="0"/>
        <v>409861818</v>
      </c>
      <c r="R17" s="17">
        <f t="shared" si="1"/>
        <v>34500</v>
      </c>
      <c r="S17" s="17">
        <f t="shared" si="2"/>
        <v>59818015</v>
      </c>
      <c r="T17" s="17">
        <f t="shared" si="3"/>
        <v>16002141</v>
      </c>
      <c r="U17" s="17">
        <f t="shared" si="4"/>
        <v>16</v>
      </c>
      <c r="V17" s="17">
        <f t="shared" si="5"/>
        <v>15</v>
      </c>
      <c r="W17" s="17" t="str">
        <f t="shared" ref="W17:W40" si="6">"VL Platz "&amp;D17&amp;" Rang "&amp;(U17-12-2*D17)</f>
        <v>VL Platz 1 Rang 2</v>
      </c>
    </row>
    <row r="18" spans="1:23" x14ac:dyDescent="0.35">
      <c r="A18" s="17"/>
      <c r="B18" s="17"/>
      <c r="C18" s="16"/>
      <c r="D18" s="18">
        <v>2</v>
      </c>
      <c r="E18" s="18" t="s">
        <v>99</v>
      </c>
      <c r="F18" s="18">
        <v>22</v>
      </c>
      <c r="G18" s="18">
        <v>15</v>
      </c>
      <c r="H18" s="18">
        <v>2</v>
      </c>
      <c r="I18" s="18">
        <v>5</v>
      </c>
      <c r="J18" s="18">
        <v>730</v>
      </c>
      <c r="K18" s="18" t="s">
        <v>20</v>
      </c>
      <c r="L18" s="19">
        <v>660</v>
      </c>
      <c r="M18" s="18">
        <v>32</v>
      </c>
      <c r="N18" s="18" t="s">
        <v>20</v>
      </c>
      <c r="O18" s="19">
        <v>12</v>
      </c>
      <c r="P18" s="17">
        <v>6</v>
      </c>
      <c r="Q18" s="17">
        <f t="shared" si="0"/>
        <v>409758181</v>
      </c>
      <c r="R18" s="17">
        <f t="shared" si="1"/>
        <v>33181</v>
      </c>
      <c r="S18" s="17">
        <f t="shared" si="2"/>
        <v>60909016</v>
      </c>
      <c r="T18" s="17">
        <f t="shared" si="3"/>
        <v>18008130</v>
      </c>
      <c r="U18" s="17">
        <f t="shared" si="4"/>
        <v>18</v>
      </c>
      <c r="V18" s="17">
        <f t="shared" si="5"/>
        <v>16</v>
      </c>
      <c r="W18" s="17" t="str">
        <f t="shared" si="6"/>
        <v>VL Platz 2 Rang 2</v>
      </c>
    </row>
    <row r="19" spans="1:23" x14ac:dyDescent="0.35">
      <c r="A19" s="17"/>
      <c r="B19" s="17"/>
      <c r="C19" s="16"/>
      <c r="D19" s="18">
        <v>3</v>
      </c>
      <c r="E19" s="18" t="s">
        <v>97</v>
      </c>
      <c r="F19" s="18">
        <v>22</v>
      </c>
      <c r="G19" s="18">
        <v>15</v>
      </c>
      <c r="H19" s="18">
        <v>2</v>
      </c>
      <c r="I19" s="18">
        <v>5</v>
      </c>
      <c r="J19" s="18">
        <v>706</v>
      </c>
      <c r="K19" s="18" t="s">
        <v>20</v>
      </c>
      <c r="L19" s="19">
        <v>662</v>
      </c>
      <c r="M19" s="18">
        <v>32</v>
      </c>
      <c r="N19" s="18" t="s">
        <v>20</v>
      </c>
      <c r="O19" s="19">
        <v>12</v>
      </c>
      <c r="P19" s="17">
        <v>6</v>
      </c>
      <c r="Q19" s="17">
        <f t="shared" si="0"/>
        <v>409658181</v>
      </c>
      <c r="R19" s="17">
        <f t="shared" si="1"/>
        <v>32090</v>
      </c>
      <c r="S19" s="17">
        <f t="shared" si="2"/>
        <v>60818017</v>
      </c>
      <c r="T19" s="17">
        <f t="shared" si="3"/>
        <v>19016134</v>
      </c>
      <c r="U19" s="17">
        <f t="shared" si="4"/>
        <v>19</v>
      </c>
      <c r="V19" s="17">
        <f t="shared" si="5"/>
        <v>17</v>
      </c>
      <c r="W19" s="17" t="str">
        <f t="shared" si="6"/>
        <v>VL Platz 3 Rang 1</v>
      </c>
    </row>
    <row r="20" spans="1:23" x14ac:dyDescent="0.35">
      <c r="A20" s="17"/>
      <c r="B20" s="17"/>
      <c r="C20" s="16"/>
      <c r="D20" s="18">
        <v>4</v>
      </c>
      <c r="E20" s="18" t="s">
        <v>101</v>
      </c>
      <c r="F20" s="18">
        <v>22</v>
      </c>
      <c r="G20" s="18">
        <v>13</v>
      </c>
      <c r="H20" s="18">
        <v>0</v>
      </c>
      <c r="I20" s="18">
        <v>9</v>
      </c>
      <c r="J20" s="18">
        <v>694</v>
      </c>
      <c r="K20" s="18" t="s">
        <v>20</v>
      </c>
      <c r="L20" s="19">
        <v>634</v>
      </c>
      <c r="M20" s="18">
        <v>26</v>
      </c>
      <c r="N20" s="18" t="s">
        <v>20</v>
      </c>
      <c r="O20" s="19">
        <v>18</v>
      </c>
      <c r="P20" s="17">
        <v>6</v>
      </c>
      <c r="Q20" s="17">
        <f t="shared" si="0"/>
        <v>409547272</v>
      </c>
      <c r="R20" s="17">
        <f t="shared" si="1"/>
        <v>31545</v>
      </c>
      <c r="S20" s="17">
        <f t="shared" si="2"/>
        <v>62090018</v>
      </c>
      <c r="T20" s="17">
        <f t="shared" si="3"/>
        <v>22023120</v>
      </c>
      <c r="U20" s="17">
        <f t="shared" si="4"/>
        <v>22</v>
      </c>
      <c r="V20" s="17">
        <f t="shared" si="5"/>
        <v>18</v>
      </c>
      <c r="W20" s="17" t="str">
        <f t="shared" si="6"/>
        <v>VL Platz 4 Rang 2</v>
      </c>
    </row>
    <row r="21" spans="1:23" x14ac:dyDescent="0.35">
      <c r="A21" s="17"/>
      <c r="B21" s="17"/>
      <c r="C21" s="16"/>
      <c r="D21" s="18">
        <v>5</v>
      </c>
      <c r="E21" s="18" t="s">
        <v>98</v>
      </c>
      <c r="F21" s="18">
        <v>22</v>
      </c>
      <c r="G21" s="18">
        <v>11</v>
      </c>
      <c r="H21" s="18">
        <v>3</v>
      </c>
      <c r="I21" s="18">
        <v>8</v>
      </c>
      <c r="J21" s="18">
        <v>673</v>
      </c>
      <c r="K21" s="18" t="s">
        <v>20</v>
      </c>
      <c r="L21" s="19">
        <v>663</v>
      </c>
      <c r="M21" s="18">
        <v>25</v>
      </c>
      <c r="N21" s="18" t="s">
        <v>20</v>
      </c>
      <c r="O21" s="19">
        <v>19</v>
      </c>
      <c r="P21" s="17">
        <v>6</v>
      </c>
      <c r="Q21" s="17">
        <f t="shared" si="0"/>
        <v>409445454</v>
      </c>
      <c r="R21" s="17">
        <f t="shared" si="1"/>
        <v>30590</v>
      </c>
      <c r="S21" s="17">
        <f t="shared" si="2"/>
        <v>60772019</v>
      </c>
      <c r="T21" s="17">
        <f t="shared" si="3"/>
        <v>24037136</v>
      </c>
      <c r="U21" s="17">
        <f t="shared" si="4"/>
        <v>24</v>
      </c>
      <c r="V21" s="17">
        <f t="shared" si="5"/>
        <v>19</v>
      </c>
      <c r="W21" s="17" t="str">
        <f t="shared" si="6"/>
        <v>VL Platz 5 Rang 2</v>
      </c>
    </row>
    <row r="22" spans="1:23" x14ac:dyDescent="0.35">
      <c r="A22" s="17"/>
      <c r="B22" s="17"/>
      <c r="C22" s="16"/>
      <c r="D22" s="18">
        <v>6</v>
      </c>
      <c r="E22" s="18" t="s">
        <v>102</v>
      </c>
      <c r="F22" s="18">
        <v>22</v>
      </c>
      <c r="G22" s="18">
        <v>10</v>
      </c>
      <c r="H22" s="18">
        <v>3</v>
      </c>
      <c r="I22" s="18">
        <v>9</v>
      </c>
      <c r="J22" s="18">
        <v>680</v>
      </c>
      <c r="K22" s="18" t="s">
        <v>20</v>
      </c>
      <c r="L22" s="19">
        <v>661</v>
      </c>
      <c r="M22" s="18">
        <v>23</v>
      </c>
      <c r="N22" s="18" t="s">
        <v>20</v>
      </c>
      <c r="O22" s="19">
        <v>21</v>
      </c>
      <c r="P22" s="17">
        <v>6</v>
      </c>
      <c r="Q22" s="17">
        <f t="shared" si="0"/>
        <v>409341818</v>
      </c>
      <c r="R22" s="17">
        <f t="shared" si="1"/>
        <v>30909</v>
      </c>
      <c r="S22" s="17">
        <f t="shared" si="2"/>
        <v>60863020</v>
      </c>
      <c r="T22" s="17">
        <f t="shared" si="3"/>
        <v>26029132</v>
      </c>
      <c r="U22" s="17">
        <f t="shared" si="4"/>
        <v>26</v>
      </c>
      <c r="V22" s="17">
        <f t="shared" si="5"/>
        <v>20</v>
      </c>
      <c r="W22" s="17" t="str">
        <f t="shared" si="6"/>
        <v>VL Platz 6 Rang 2</v>
      </c>
    </row>
    <row r="23" spans="1:23" x14ac:dyDescent="0.35">
      <c r="A23" s="17"/>
      <c r="B23" s="17"/>
      <c r="C23" s="16"/>
      <c r="D23" s="18">
        <v>7</v>
      </c>
      <c r="E23" s="18" t="s">
        <v>103</v>
      </c>
      <c r="F23" s="18">
        <v>22</v>
      </c>
      <c r="G23" s="18">
        <v>9</v>
      </c>
      <c r="H23" s="18">
        <v>1</v>
      </c>
      <c r="I23" s="18">
        <v>12</v>
      </c>
      <c r="J23" s="18">
        <v>639</v>
      </c>
      <c r="K23" s="18" t="s">
        <v>20</v>
      </c>
      <c r="L23" s="19">
        <v>674</v>
      </c>
      <c r="M23" s="18">
        <v>19</v>
      </c>
      <c r="N23" s="18" t="s">
        <v>20</v>
      </c>
      <c r="O23" s="19">
        <v>25</v>
      </c>
      <c r="P23" s="17">
        <v>6</v>
      </c>
      <c r="Q23" s="17">
        <f t="shared" si="0"/>
        <v>409234545</v>
      </c>
      <c r="R23" s="17">
        <f t="shared" si="1"/>
        <v>29045</v>
      </c>
      <c r="S23" s="17">
        <f t="shared" si="2"/>
        <v>60272021</v>
      </c>
      <c r="T23" s="17">
        <f t="shared" si="3"/>
        <v>28084137</v>
      </c>
      <c r="U23" s="17">
        <f t="shared" si="4"/>
        <v>28</v>
      </c>
      <c r="V23" s="17">
        <f t="shared" si="5"/>
        <v>21</v>
      </c>
      <c r="W23" s="17" t="str">
        <f t="shared" si="6"/>
        <v>VL Platz 7 Rang 2</v>
      </c>
    </row>
    <row r="24" spans="1:23" x14ac:dyDescent="0.35">
      <c r="A24" s="17"/>
      <c r="B24" s="17"/>
      <c r="C24" s="16"/>
      <c r="D24" s="18">
        <v>8</v>
      </c>
      <c r="E24" s="18" t="s">
        <v>105</v>
      </c>
      <c r="F24" s="18">
        <v>22</v>
      </c>
      <c r="G24" s="18">
        <v>9</v>
      </c>
      <c r="H24" s="18">
        <v>0</v>
      </c>
      <c r="I24" s="18">
        <v>13</v>
      </c>
      <c r="J24" s="18">
        <v>691</v>
      </c>
      <c r="K24" s="18" t="s">
        <v>20</v>
      </c>
      <c r="L24" s="19">
        <v>686</v>
      </c>
      <c r="M24" s="18">
        <v>18</v>
      </c>
      <c r="N24" s="18" t="s">
        <v>20</v>
      </c>
      <c r="O24" s="19">
        <v>26</v>
      </c>
      <c r="P24" s="17">
        <v>6</v>
      </c>
      <c r="Q24" s="17">
        <f t="shared" si="0"/>
        <v>409132727</v>
      </c>
      <c r="R24" s="17">
        <f t="shared" si="1"/>
        <v>31409</v>
      </c>
      <c r="S24" s="17">
        <f t="shared" si="2"/>
        <v>59727022</v>
      </c>
      <c r="T24" s="17">
        <f t="shared" si="3"/>
        <v>29025142</v>
      </c>
      <c r="U24" s="17">
        <f t="shared" si="4"/>
        <v>29</v>
      </c>
      <c r="V24" s="17">
        <f t="shared" si="5"/>
        <v>22</v>
      </c>
      <c r="W24" s="17" t="str">
        <f t="shared" si="6"/>
        <v>VL Platz 8 Rang 1</v>
      </c>
    </row>
    <row r="25" spans="1:23" x14ac:dyDescent="0.35">
      <c r="A25" s="17"/>
      <c r="B25" s="17"/>
      <c r="C25" s="16"/>
      <c r="D25" s="18">
        <v>9</v>
      </c>
      <c r="E25" s="18" t="s">
        <v>104</v>
      </c>
      <c r="F25" s="18">
        <v>22</v>
      </c>
      <c r="G25" s="18">
        <v>7</v>
      </c>
      <c r="H25" s="18">
        <v>2</v>
      </c>
      <c r="I25" s="18">
        <v>13</v>
      </c>
      <c r="J25" s="18">
        <v>662</v>
      </c>
      <c r="K25" s="18" t="s">
        <v>20</v>
      </c>
      <c r="L25" s="19">
        <v>712</v>
      </c>
      <c r="M25" s="18">
        <v>16</v>
      </c>
      <c r="N25" s="18" t="s">
        <v>20</v>
      </c>
      <c r="O25" s="19">
        <v>28</v>
      </c>
      <c r="P25" s="17">
        <v>6</v>
      </c>
      <c r="Q25" s="17">
        <f t="shared" si="0"/>
        <v>409029090</v>
      </c>
      <c r="R25" s="17">
        <f t="shared" si="1"/>
        <v>30090</v>
      </c>
      <c r="S25" s="17">
        <f t="shared" si="2"/>
        <v>58545023</v>
      </c>
      <c r="T25" s="17">
        <f t="shared" si="3"/>
        <v>31050149</v>
      </c>
      <c r="U25" s="17">
        <f t="shared" si="4"/>
        <v>31</v>
      </c>
      <c r="V25" s="17">
        <f t="shared" si="5"/>
        <v>23</v>
      </c>
      <c r="W25" s="17" t="str">
        <f t="shared" si="6"/>
        <v>VL Platz 9 Rang 1</v>
      </c>
    </row>
    <row r="26" spans="1:23" x14ac:dyDescent="0.35">
      <c r="A26" s="17"/>
      <c r="B26" s="17"/>
      <c r="C26" s="16"/>
      <c r="D26" s="18">
        <v>10</v>
      </c>
      <c r="E26" s="18" t="s">
        <v>106</v>
      </c>
      <c r="F26" s="18">
        <v>22</v>
      </c>
      <c r="G26" s="18">
        <v>7</v>
      </c>
      <c r="H26" s="18">
        <v>2</v>
      </c>
      <c r="I26" s="18">
        <v>13</v>
      </c>
      <c r="J26" s="18">
        <v>641</v>
      </c>
      <c r="K26" s="18" t="s">
        <v>20</v>
      </c>
      <c r="L26" s="19">
        <v>700</v>
      </c>
      <c r="M26" s="18">
        <v>16</v>
      </c>
      <c r="N26" s="18" t="s">
        <v>20</v>
      </c>
      <c r="O26" s="19">
        <v>28</v>
      </c>
      <c r="P26" s="17">
        <v>6</v>
      </c>
      <c r="Q26" s="17">
        <f t="shared" si="0"/>
        <v>408929090</v>
      </c>
      <c r="R26" s="17">
        <f t="shared" si="1"/>
        <v>29136</v>
      </c>
      <c r="S26" s="17">
        <f t="shared" si="2"/>
        <v>59090024</v>
      </c>
      <c r="T26" s="17">
        <f t="shared" si="3"/>
        <v>33079147</v>
      </c>
      <c r="U26" s="17">
        <f t="shared" si="4"/>
        <v>33</v>
      </c>
      <c r="V26" s="17">
        <f t="shared" si="5"/>
        <v>24</v>
      </c>
      <c r="W26" s="17" t="str">
        <f t="shared" si="6"/>
        <v>VL Platz 10 Rang 1</v>
      </c>
    </row>
    <row r="27" spans="1:23" x14ac:dyDescent="0.35">
      <c r="A27" s="17"/>
      <c r="B27" s="17"/>
      <c r="C27" s="16"/>
      <c r="D27" s="18">
        <v>11</v>
      </c>
      <c r="E27" s="18" t="s">
        <v>107</v>
      </c>
      <c r="F27" s="18">
        <v>22</v>
      </c>
      <c r="G27" s="18">
        <v>8</v>
      </c>
      <c r="H27" s="18">
        <v>0</v>
      </c>
      <c r="I27" s="18">
        <v>14</v>
      </c>
      <c r="J27" s="18">
        <v>656</v>
      </c>
      <c r="K27" s="18" t="s">
        <v>20</v>
      </c>
      <c r="L27" s="19">
        <v>693</v>
      </c>
      <c r="M27" s="18">
        <v>16</v>
      </c>
      <c r="N27" s="18" t="s">
        <v>20</v>
      </c>
      <c r="O27" s="19">
        <v>28</v>
      </c>
      <c r="P27" s="17">
        <v>6</v>
      </c>
      <c r="Q27" s="17">
        <f t="shared" si="0"/>
        <v>408829090</v>
      </c>
      <c r="R27" s="17">
        <f t="shared" si="1"/>
        <v>29818</v>
      </c>
      <c r="S27" s="17">
        <f t="shared" si="2"/>
        <v>59409025</v>
      </c>
      <c r="T27" s="17">
        <f t="shared" si="3"/>
        <v>35057145</v>
      </c>
      <c r="U27" s="17">
        <f t="shared" si="4"/>
        <v>35</v>
      </c>
      <c r="V27" s="17">
        <f t="shared" si="5"/>
        <v>25</v>
      </c>
      <c r="W27" s="17" t="str">
        <f t="shared" si="6"/>
        <v>VL Platz 11 Rang 1</v>
      </c>
    </row>
    <row r="28" spans="1:23" x14ac:dyDescent="0.35">
      <c r="A28" s="17"/>
      <c r="B28" s="17"/>
      <c r="C28" s="16"/>
      <c r="D28" s="18">
        <v>12</v>
      </c>
      <c r="E28" s="18" t="s">
        <v>108</v>
      </c>
      <c r="F28" s="18">
        <v>22</v>
      </c>
      <c r="G28" s="18">
        <v>3</v>
      </c>
      <c r="H28" s="18">
        <v>1</v>
      </c>
      <c r="I28" s="18">
        <v>18</v>
      </c>
      <c r="J28" s="18">
        <v>678</v>
      </c>
      <c r="K28" s="18" t="s">
        <v>20</v>
      </c>
      <c r="L28" s="19">
        <v>780</v>
      </c>
      <c r="M28" s="18">
        <v>7</v>
      </c>
      <c r="N28" s="18" t="s">
        <v>20</v>
      </c>
      <c r="O28" s="19">
        <v>37</v>
      </c>
      <c r="P28" s="17">
        <v>6</v>
      </c>
      <c r="Q28" s="17">
        <f t="shared" si="0"/>
        <v>408712727</v>
      </c>
      <c r="R28" s="17">
        <f t="shared" si="1"/>
        <v>30818</v>
      </c>
      <c r="S28" s="17">
        <f t="shared" si="2"/>
        <v>55454026</v>
      </c>
      <c r="T28" s="17">
        <f t="shared" si="3"/>
        <v>37030155</v>
      </c>
      <c r="U28" s="17">
        <f t="shared" si="4"/>
        <v>37</v>
      </c>
      <c r="V28" s="17">
        <f t="shared" si="5"/>
        <v>26</v>
      </c>
      <c r="W28" s="17" t="str">
        <f t="shared" si="6"/>
        <v>VL Platz 12 Rang 1</v>
      </c>
    </row>
    <row r="29" spans="1:23" x14ac:dyDescent="0.35">
      <c r="A29" s="17"/>
      <c r="B29" s="17"/>
      <c r="C29" s="16" t="s">
        <v>508</v>
      </c>
      <c r="D29" s="18">
        <v>1</v>
      </c>
      <c r="E29" s="18" t="s">
        <v>109</v>
      </c>
      <c r="F29" s="18">
        <v>22</v>
      </c>
      <c r="G29" s="18">
        <v>22</v>
      </c>
      <c r="H29" s="18">
        <v>0</v>
      </c>
      <c r="I29" s="18">
        <v>0</v>
      </c>
      <c r="J29" s="18">
        <v>745</v>
      </c>
      <c r="K29" s="18" t="s">
        <v>20</v>
      </c>
      <c r="L29" s="19">
        <v>531</v>
      </c>
      <c r="M29" s="18">
        <v>44</v>
      </c>
      <c r="N29" s="18" t="s">
        <v>20</v>
      </c>
      <c r="O29" s="19">
        <v>0</v>
      </c>
      <c r="P29" s="17">
        <v>6</v>
      </c>
      <c r="Q29" s="17">
        <f t="shared" si="0"/>
        <v>409880000</v>
      </c>
      <c r="R29" s="17">
        <f t="shared" si="1"/>
        <v>33863</v>
      </c>
      <c r="S29" s="17">
        <f t="shared" si="2"/>
        <v>66772027</v>
      </c>
      <c r="T29" s="17">
        <f t="shared" si="3"/>
        <v>15003088</v>
      </c>
      <c r="U29" s="17">
        <f t="shared" si="4"/>
        <v>15</v>
      </c>
      <c r="V29" s="17">
        <f t="shared" si="5"/>
        <v>27</v>
      </c>
      <c r="W29" s="17" t="str">
        <f t="shared" si="6"/>
        <v>VL Platz 1 Rang 1</v>
      </c>
    </row>
    <row r="30" spans="1:23" x14ac:dyDescent="0.35">
      <c r="A30" s="17"/>
      <c r="B30" s="17"/>
      <c r="C30" s="16"/>
      <c r="D30" s="18">
        <v>2</v>
      </c>
      <c r="E30" s="18" t="s">
        <v>110</v>
      </c>
      <c r="F30" s="18">
        <v>22</v>
      </c>
      <c r="G30" s="18">
        <v>17</v>
      </c>
      <c r="H30" s="18">
        <v>2</v>
      </c>
      <c r="I30" s="18">
        <v>3</v>
      </c>
      <c r="J30" s="18">
        <v>712</v>
      </c>
      <c r="K30" s="18" t="s">
        <v>20</v>
      </c>
      <c r="L30" s="19">
        <v>534</v>
      </c>
      <c r="M30" s="18">
        <v>36</v>
      </c>
      <c r="N30" s="18" t="s">
        <v>20</v>
      </c>
      <c r="O30" s="19">
        <v>8</v>
      </c>
      <c r="P30" s="17">
        <v>6</v>
      </c>
      <c r="Q30" s="17">
        <f t="shared" si="0"/>
        <v>409765454</v>
      </c>
      <c r="R30" s="17">
        <f t="shared" si="1"/>
        <v>32363</v>
      </c>
      <c r="S30" s="17">
        <f t="shared" si="2"/>
        <v>66636028</v>
      </c>
      <c r="T30" s="17">
        <f t="shared" si="3"/>
        <v>17013091</v>
      </c>
      <c r="U30" s="17">
        <f t="shared" si="4"/>
        <v>17</v>
      </c>
      <c r="V30" s="17">
        <f t="shared" si="5"/>
        <v>28</v>
      </c>
      <c r="W30" s="17" t="str">
        <f t="shared" si="6"/>
        <v>VL Platz 2 Rang 1</v>
      </c>
    </row>
    <row r="31" spans="1:23" x14ac:dyDescent="0.35">
      <c r="A31" s="17"/>
      <c r="B31" s="17"/>
      <c r="C31" s="16"/>
      <c r="D31" s="18">
        <v>3</v>
      </c>
      <c r="E31" s="18" t="s">
        <v>114</v>
      </c>
      <c r="F31" s="18">
        <v>22</v>
      </c>
      <c r="G31" s="18">
        <v>15</v>
      </c>
      <c r="H31" s="18">
        <v>0</v>
      </c>
      <c r="I31" s="18">
        <v>7</v>
      </c>
      <c r="J31" s="18">
        <v>626</v>
      </c>
      <c r="K31" s="18" t="s">
        <v>20</v>
      </c>
      <c r="L31" s="19">
        <v>613</v>
      </c>
      <c r="M31" s="18">
        <v>30</v>
      </c>
      <c r="N31" s="18" t="s">
        <v>20</v>
      </c>
      <c r="O31" s="19">
        <v>14</v>
      </c>
      <c r="P31" s="17">
        <v>6</v>
      </c>
      <c r="Q31" s="17">
        <f t="shared" si="0"/>
        <v>409654545</v>
      </c>
      <c r="R31" s="17">
        <f t="shared" si="1"/>
        <v>28454</v>
      </c>
      <c r="S31" s="17">
        <f t="shared" si="2"/>
        <v>63045029</v>
      </c>
      <c r="T31" s="17">
        <f t="shared" si="3"/>
        <v>20097111</v>
      </c>
      <c r="U31" s="17">
        <f t="shared" si="4"/>
        <v>20</v>
      </c>
      <c r="V31" s="17">
        <f t="shared" si="5"/>
        <v>29</v>
      </c>
      <c r="W31" s="17" t="str">
        <f t="shared" si="6"/>
        <v>VL Platz 3 Rang 2</v>
      </c>
    </row>
    <row r="32" spans="1:23" x14ac:dyDescent="0.35">
      <c r="A32" s="17"/>
      <c r="B32" s="17"/>
      <c r="C32" s="16"/>
      <c r="D32" s="18">
        <v>4</v>
      </c>
      <c r="E32" s="18" t="s">
        <v>113</v>
      </c>
      <c r="F32" s="18">
        <v>22</v>
      </c>
      <c r="G32" s="18">
        <v>13</v>
      </c>
      <c r="H32" s="18">
        <v>3</v>
      </c>
      <c r="I32" s="18">
        <v>6</v>
      </c>
      <c r="J32" s="18">
        <v>653</v>
      </c>
      <c r="K32" s="18" t="s">
        <v>20</v>
      </c>
      <c r="L32" s="19">
        <v>609</v>
      </c>
      <c r="M32" s="18">
        <v>29</v>
      </c>
      <c r="N32" s="18" t="s">
        <v>20</v>
      </c>
      <c r="O32" s="19">
        <v>15</v>
      </c>
      <c r="P32" s="17">
        <v>6</v>
      </c>
      <c r="Q32" s="17">
        <f t="shared" si="0"/>
        <v>409552727</v>
      </c>
      <c r="R32" s="17">
        <f t="shared" si="1"/>
        <v>29681</v>
      </c>
      <c r="S32" s="17">
        <f t="shared" si="2"/>
        <v>63227030</v>
      </c>
      <c r="T32" s="17">
        <f t="shared" si="3"/>
        <v>21060107</v>
      </c>
      <c r="U32" s="17">
        <f t="shared" si="4"/>
        <v>21</v>
      </c>
      <c r="V32" s="17">
        <f t="shared" si="5"/>
        <v>30</v>
      </c>
      <c r="W32" s="17" t="str">
        <f t="shared" si="6"/>
        <v>VL Platz 4 Rang 1</v>
      </c>
    </row>
    <row r="33" spans="1:23" x14ac:dyDescent="0.35">
      <c r="A33" s="17"/>
      <c r="B33" s="17"/>
      <c r="C33" s="16"/>
      <c r="D33" s="18">
        <v>5</v>
      </c>
      <c r="E33" s="18" t="s">
        <v>111</v>
      </c>
      <c r="F33" s="18">
        <v>22</v>
      </c>
      <c r="G33" s="18">
        <v>13</v>
      </c>
      <c r="H33" s="18">
        <v>2</v>
      </c>
      <c r="I33" s="18">
        <v>7</v>
      </c>
      <c r="J33" s="18">
        <v>726</v>
      </c>
      <c r="K33" s="18" t="s">
        <v>20</v>
      </c>
      <c r="L33" s="19">
        <v>661</v>
      </c>
      <c r="M33" s="18">
        <v>28</v>
      </c>
      <c r="N33" s="18" t="s">
        <v>20</v>
      </c>
      <c r="O33" s="19">
        <v>16</v>
      </c>
      <c r="P33" s="17">
        <v>6</v>
      </c>
      <c r="Q33" s="17">
        <f t="shared" si="0"/>
        <v>409450909</v>
      </c>
      <c r="R33" s="17">
        <f t="shared" si="1"/>
        <v>33000</v>
      </c>
      <c r="S33" s="17">
        <f t="shared" si="2"/>
        <v>60863031</v>
      </c>
      <c r="T33" s="17">
        <f t="shared" si="3"/>
        <v>23010131</v>
      </c>
      <c r="U33" s="17">
        <f t="shared" si="4"/>
        <v>23</v>
      </c>
      <c r="V33" s="17">
        <f t="shared" si="5"/>
        <v>31</v>
      </c>
      <c r="W33" s="17" t="str">
        <f t="shared" si="6"/>
        <v>VL Platz 5 Rang 1</v>
      </c>
    </row>
    <row r="34" spans="1:23" x14ac:dyDescent="0.35">
      <c r="A34" s="17"/>
      <c r="B34" s="17"/>
      <c r="C34" s="16"/>
      <c r="D34" s="18">
        <v>6</v>
      </c>
      <c r="E34" s="18" t="s">
        <v>112</v>
      </c>
      <c r="F34" s="18">
        <v>22</v>
      </c>
      <c r="G34" s="18">
        <v>11</v>
      </c>
      <c r="H34" s="18">
        <v>3</v>
      </c>
      <c r="I34" s="18">
        <v>8</v>
      </c>
      <c r="J34" s="18">
        <v>670</v>
      </c>
      <c r="K34" s="18" t="s">
        <v>20</v>
      </c>
      <c r="L34" s="19">
        <v>641</v>
      </c>
      <c r="M34" s="18">
        <v>25</v>
      </c>
      <c r="N34" s="18" t="s">
        <v>20</v>
      </c>
      <c r="O34" s="19">
        <v>19</v>
      </c>
      <c r="P34" s="17">
        <v>6</v>
      </c>
      <c r="Q34" s="17">
        <f t="shared" si="0"/>
        <v>409345454</v>
      </c>
      <c r="R34" s="17">
        <f t="shared" si="1"/>
        <v>30454</v>
      </c>
      <c r="S34" s="17">
        <f t="shared" si="2"/>
        <v>61772032</v>
      </c>
      <c r="T34" s="17">
        <f t="shared" si="3"/>
        <v>25043124</v>
      </c>
      <c r="U34" s="17">
        <f t="shared" si="4"/>
        <v>25</v>
      </c>
      <c r="V34" s="17">
        <f t="shared" si="5"/>
        <v>32</v>
      </c>
      <c r="W34" s="17" t="str">
        <f t="shared" si="6"/>
        <v>VL Platz 6 Rang 1</v>
      </c>
    </row>
    <row r="35" spans="1:23" x14ac:dyDescent="0.35">
      <c r="A35" s="17"/>
      <c r="B35" s="17"/>
      <c r="C35" s="16"/>
      <c r="D35" s="18">
        <v>7</v>
      </c>
      <c r="E35" s="18" t="s">
        <v>115</v>
      </c>
      <c r="F35" s="18">
        <v>22</v>
      </c>
      <c r="G35" s="18">
        <v>11</v>
      </c>
      <c r="H35" s="18">
        <v>0</v>
      </c>
      <c r="I35" s="18">
        <v>11</v>
      </c>
      <c r="J35" s="18">
        <v>635</v>
      </c>
      <c r="K35" s="18" t="s">
        <v>20</v>
      </c>
      <c r="L35" s="19">
        <v>642</v>
      </c>
      <c r="M35" s="18">
        <v>22</v>
      </c>
      <c r="N35" s="18" t="s">
        <v>20</v>
      </c>
      <c r="O35" s="19">
        <v>22</v>
      </c>
      <c r="P35" s="17">
        <v>6</v>
      </c>
      <c r="Q35" s="17">
        <f t="shared" si="0"/>
        <v>409240000</v>
      </c>
      <c r="R35" s="17">
        <f t="shared" si="1"/>
        <v>28863</v>
      </c>
      <c r="S35" s="17">
        <f t="shared" si="2"/>
        <v>61727033</v>
      </c>
      <c r="T35" s="17">
        <f t="shared" si="3"/>
        <v>27091125</v>
      </c>
      <c r="U35" s="17">
        <f t="shared" si="4"/>
        <v>27</v>
      </c>
      <c r="V35" s="17">
        <f t="shared" si="5"/>
        <v>33</v>
      </c>
      <c r="W35" s="17" t="str">
        <f t="shared" si="6"/>
        <v>VL Platz 7 Rang 1</v>
      </c>
    </row>
    <row r="36" spans="1:23" x14ac:dyDescent="0.35">
      <c r="A36" s="17"/>
      <c r="B36" s="17"/>
      <c r="C36" s="16"/>
      <c r="D36" s="18">
        <v>8</v>
      </c>
      <c r="E36" s="18" t="s">
        <v>116</v>
      </c>
      <c r="F36" s="18">
        <v>22</v>
      </c>
      <c r="G36" s="18">
        <v>8</v>
      </c>
      <c r="H36" s="18">
        <v>2</v>
      </c>
      <c r="I36" s="18">
        <v>12</v>
      </c>
      <c r="J36" s="18">
        <v>634</v>
      </c>
      <c r="K36" s="18" t="s">
        <v>20</v>
      </c>
      <c r="L36" s="19">
        <v>632</v>
      </c>
      <c r="M36" s="18">
        <v>18</v>
      </c>
      <c r="N36" s="18" t="s">
        <v>20</v>
      </c>
      <c r="O36" s="19">
        <v>26</v>
      </c>
      <c r="P36" s="17">
        <v>6</v>
      </c>
      <c r="Q36" s="17">
        <f t="shared" si="0"/>
        <v>409132727</v>
      </c>
      <c r="R36" s="17">
        <f t="shared" si="1"/>
        <v>28818</v>
      </c>
      <c r="S36" s="17">
        <f t="shared" si="2"/>
        <v>62181034</v>
      </c>
      <c r="T36" s="17">
        <f t="shared" si="3"/>
        <v>29092118</v>
      </c>
      <c r="U36" s="17">
        <f t="shared" si="4"/>
        <v>30</v>
      </c>
      <c r="V36" s="17">
        <f t="shared" si="5"/>
        <v>34</v>
      </c>
      <c r="W36" s="17" t="str">
        <f t="shared" si="6"/>
        <v>VL Platz 8 Rang 2</v>
      </c>
    </row>
    <row r="37" spans="1:23" x14ac:dyDescent="0.35">
      <c r="A37" s="17"/>
      <c r="B37" s="17"/>
      <c r="C37" s="16"/>
      <c r="D37" s="18">
        <v>9</v>
      </c>
      <c r="E37" s="18" t="s">
        <v>117</v>
      </c>
      <c r="F37" s="18">
        <v>22</v>
      </c>
      <c r="G37" s="18">
        <v>7</v>
      </c>
      <c r="H37" s="18">
        <v>0</v>
      </c>
      <c r="I37" s="18">
        <v>15</v>
      </c>
      <c r="J37" s="18">
        <v>637</v>
      </c>
      <c r="K37" s="18" t="s">
        <v>20</v>
      </c>
      <c r="L37" s="19">
        <v>699</v>
      </c>
      <c r="M37" s="18">
        <v>14</v>
      </c>
      <c r="N37" s="18" t="s">
        <v>20</v>
      </c>
      <c r="O37" s="19">
        <v>30</v>
      </c>
      <c r="P37" s="17">
        <v>6</v>
      </c>
      <c r="Q37" s="17">
        <f t="shared" si="0"/>
        <v>409025454</v>
      </c>
      <c r="R37" s="17">
        <f t="shared" si="1"/>
        <v>28954</v>
      </c>
      <c r="S37" s="17">
        <f t="shared" si="2"/>
        <v>59136035</v>
      </c>
      <c r="T37" s="17">
        <f t="shared" si="3"/>
        <v>32087146</v>
      </c>
      <c r="U37" s="17">
        <f t="shared" si="4"/>
        <v>32</v>
      </c>
      <c r="V37" s="17">
        <f t="shared" si="5"/>
        <v>35</v>
      </c>
      <c r="W37" s="17" t="str">
        <f t="shared" si="6"/>
        <v>VL Platz 9 Rang 2</v>
      </c>
    </row>
    <row r="38" spans="1:23" x14ac:dyDescent="0.35">
      <c r="A38" s="17"/>
      <c r="B38" s="17"/>
      <c r="C38" s="16"/>
      <c r="D38" s="18">
        <v>10</v>
      </c>
      <c r="E38" s="18" t="s">
        <v>118</v>
      </c>
      <c r="F38" s="18">
        <v>22</v>
      </c>
      <c r="G38" s="18">
        <v>4</v>
      </c>
      <c r="H38" s="18">
        <v>1</v>
      </c>
      <c r="I38" s="18">
        <v>17</v>
      </c>
      <c r="J38" s="18">
        <v>595</v>
      </c>
      <c r="K38" s="18" t="s">
        <v>20</v>
      </c>
      <c r="L38" s="19">
        <v>740</v>
      </c>
      <c r="M38" s="18">
        <v>9</v>
      </c>
      <c r="N38" s="18" t="s">
        <v>20</v>
      </c>
      <c r="O38" s="19">
        <v>35</v>
      </c>
      <c r="P38" s="17">
        <v>6</v>
      </c>
      <c r="Q38" s="17">
        <f t="shared" si="0"/>
        <v>408916363</v>
      </c>
      <c r="R38" s="17">
        <f t="shared" si="1"/>
        <v>27045</v>
      </c>
      <c r="S38" s="17">
        <f t="shared" si="2"/>
        <v>57272036</v>
      </c>
      <c r="T38" s="17">
        <f t="shared" si="3"/>
        <v>34131154</v>
      </c>
      <c r="U38" s="17">
        <f t="shared" si="4"/>
        <v>34</v>
      </c>
      <c r="V38" s="17">
        <f t="shared" si="5"/>
        <v>36</v>
      </c>
      <c r="W38" s="17" t="str">
        <f t="shared" si="6"/>
        <v>VL Platz 10 Rang 2</v>
      </c>
    </row>
    <row r="39" spans="1:23" x14ac:dyDescent="0.35">
      <c r="A39" s="17"/>
      <c r="B39" s="17"/>
      <c r="C39" s="16"/>
      <c r="D39" s="18">
        <v>11</v>
      </c>
      <c r="E39" s="18" t="s">
        <v>119</v>
      </c>
      <c r="F39" s="18">
        <v>22</v>
      </c>
      <c r="G39" s="18">
        <v>2</v>
      </c>
      <c r="H39" s="18">
        <v>2</v>
      </c>
      <c r="I39" s="18">
        <v>18</v>
      </c>
      <c r="J39" s="18">
        <v>597</v>
      </c>
      <c r="K39" s="18" t="s">
        <v>20</v>
      </c>
      <c r="L39" s="19">
        <v>739</v>
      </c>
      <c r="M39" s="18">
        <v>6</v>
      </c>
      <c r="N39" s="18" t="s">
        <v>20</v>
      </c>
      <c r="O39" s="19">
        <v>38</v>
      </c>
      <c r="P39" s="17">
        <v>6</v>
      </c>
      <c r="Q39" s="17">
        <f t="shared" si="0"/>
        <v>408810909</v>
      </c>
      <c r="R39" s="17">
        <f t="shared" si="1"/>
        <v>27136</v>
      </c>
      <c r="S39" s="17">
        <f t="shared" si="2"/>
        <v>57318037</v>
      </c>
      <c r="T39" s="17">
        <f t="shared" si="3"/>
        <v>36127153</v>
      </c>
      <c r="U39" s="17">
        <f t="shared" si="4"/>
        <v>36</v>
      </c>
      <c r="V39" s="17">
        <f t="shared" si="5"/>
        <v>37</v>
      </c>
      <c r="W39" s="17" t="str">
        <f t="shared" si="6"/>
        <v>VL Platz 11 Rang 2</v>
      </c>
    </row>
    <row r="40" spans="1:23" x14ac:dyDescent="0.35">
      <c r="A40" s="17"/>
      <c r="B40" s="17"/>
      <c r="C40" s="16"/>
      <c r="D40" s="18">
        <v>12</v>
      </c>
      <c r="E40" s="18" t="s">
        <v>120</v>
      </c>
      <c r="F40" s="18">
        <v>22</v>
      </c>
      <c r="G40" s="18">
        <v>1</v>
      </c>
      <c r="H40" s="18">
        <v>1</v>
      </c>
      <c r="I40" s="18">
        <v>20</v>
      </c>
      <c r="J40" s="18">
        <v>526</v>
      </c>
      <c r="K40" s="18" t="s">
        <v>20</v>
      </c>
      <c r="L40" s="19">
        <v>715</v>
      </c>
      <c r="M40" s="18">
        <v>3</v>
      </c>
      <c r="N40" s="18" t="s">
        <v>20</v>
      </c>
      <c r="O40" s="19">
        <v>41</v>
      </c>
      <c r="P40" s="17">
        <v>6</v>
      </c>
      <c r="Q40" s="17">
        <f t="shared" si="0"/>
        <v>408705454</v>
      </c>
      <c r="R40" s="17">
        <f t="shared" si="1"/>
        <v>23909</v>
      </c>
      <c r="S40" s="17">
        <f t="shared" si="2"/>
        <v>58409038</v>
      </c>
      <c r="T40" s="17">
        <f t="shared" si="3"/>
        <v>38164150</v>
      </c>
      <c r="U40" s="17">
        <f t="shared" si="4"/>
        <v>38</v>
      </c>
      <c r="V40" s="17">
        <f t="shared" si="5"/>
        <v>38</v>
      </c>
      <c r="W40" s="17" t="str">
        <f t="shared" si="6"/>
        <v>VL Platz 12 Rang 2</v>
      </c>
    </row>
    <row r="41" spans="1:23" x14ac:dyDescent="0.35">
      <c r="A41" s="17"/>
      <c r="B41" s="17"/>
      <c r="C41" s="16" t="s">
        <v>509</v>
      </c>
      <c r="D41" s="18">
        <v>1</v>
      </c>
      <c r="E41" s="18" t="s">
        <v>121</v>
      </c>
      <c r="F41" s="18">
        <v>18</v>
      </c>
      <c r="G41" s="18">
        <v>14</v>
      </c>
      <c r="H41" s="18">
        <v>2</v>
      </c>
      <c r="I41" s="18">
        <v>2</v>
      </c>
      <c r="J41" s="18">
        <v>532</v>
      </c>
      <c r="K41" s="18" t="s">
        <v>20</v>
      </c>
      <c r="L41" s="19">
        <v>455</v>
      </c>
      <c r="M41" s="18">
        <v>30</v>
      </c>
      <c r="N41" s="18" t="s">
        <v>20</v>
      </c>
      <c r="O41" s="19">
        <v>6</v>
      </c>
      <c r="P41" s="17">
        <v>7</v>
      </c>
      <c r="Q41" s="17">
        <f t="shared" si="0"/>
        <v>309866666</v>
      </c>
      <c r="R41" s="17">
        <f t="shared" si="1"/>
        <v>29555</v>
      </c>
      <c r="S41" s="17">
        <f t="shared" si="2"/>
        <v>85833039</v>
      </c>
      <c r="T41" s="17">
        <f t="shared" si="3"/>
        <v>40067002</v>
      </c>
      <c r="U41" s="17">
        <f t="shared" si="4"/>
        <v>41</v>
      </c>
      <c r="V41" s="17">
        <f t="shared" si="5"/>
        <v>39</v>
      </c>
      <c r="W41" s="17" t="str">
        <f t="shared" ref="W41:W80" si="7">"LL Platz "&amp;D41&amp;" Rang "&amp;(U41-34-4*D41)</f>
        <v>LL Platz 1 Rang 3</v>
      </c>
    </row>
    <row r="42" spans="1:23" x14ac:dyDescent="0.35">
      <c r="A42" s="17"/>
      <c r="B42" s="17"/>
      <c r="C42" s="16"/>
      <c r="D42" s="18">
        <v>2</v>
      </c>
      <c r="E42" s="18" t="s">
        <v>122</v>
      </c>
      <c r="F42" s="18">
        <v>18</v>
      </c>
      <c r="G42" s="18">
        <v>11</v>
      </c>
      <c r="H42" s="18">
        <v>1</v>
      </c>
      <c r="I42" s="18">
        <v>6</v>
      </c>
      <c r="J42" s="18">
        <v>501</v>
      </c>
      <c r="K42" s="18" t="s">
        <v>20</v>
      </c>
      <c r="L42" s="19">
        <v>488</v>
      </c>
      <c r="M42" s="18">
        <v>23</v>
      </c>
      <c r="N42" s="18" t="s">
        <v>20</v>
      </c>
      <c r="O42" s="19">
        <v>13</v>
      </c>
      <c r="P42" s="17">
        <v>7</v>
      </c>
      <c r="Q42" s="17">
        <f t="shared" si="0"/>
        <v>309751111</v>
      </c>
      <c r="R42" s="17">
        <f t="shared" si="1"/>
        <v>27833</v>
      </c>
      <c r="S42" s="17">
        <f t="shared" si="2"/>
        <v>84000040</v>
      </c>
      <c r="T42" s="17">
        <f t="shared" si="3"/>
        <v>45113011</v>
      </c>
      <c r="U42" s="17">
        <f t="shared" si="4"/>
        <v>45</v>
      </c>
      <c r="V42" s="17">
        <f t="shared" si="5"/>
        <v>40</v>
      </c>
      <c r="W42" s="17" t="str">
        <f t="shared" si="7"/>
        <v>LL Platz 2 Rang 3</v>
      </c>
    </row>
    <row r="43" spans="1:23" x14ac:dyDescent="0.35">
      <c r="A43" s="17"/>
      <c r="B43" s="17"/>
      <c r="C43" s="16"/>
      <c r="D43" s="18">
        <v>3</v>
      </c>
      <c r="E43" s="18" t="s">
        <v>127</v>
      </c>
      <c r="F43" s="18">
        <v>18</v>
      </c>
      <c r="G43" s="18">
        <v>9</v>
      </c>
      <c r="H43" s="18">
        <v>2</v>
      </c>
      <c r="I43" s="18">
        <v>7</v>
      </c>
      <c r="J43" s="18">
        <v>547</v>
      </c>
      <c r="K43" s="18" t="s">
        <v>20</v>
      </c>
      <c r="L43" s="19">
        <v>529</v>
      </c>
      <c r="M43" s="18">
        <v>20</v>
      </c>
      <c r="N43" s="18" t="s">
        <v>20</v>
      </c>
      <c r="O43" s="19">
        <v>16</v>
      </c>
      <c r="P43" s="17">
        <v>7</v>
      </c>
      <c r="Q43" s="17">
        <f t="shared" si="0"/>
        <v>309644444</v>
      </c>
      <c r="R43" s="17">
        <f t="shared" si="1"/>
        <v>30388</v>
      </c>
      <c r="S43" s="17">
        <f t="shared" si="2"/>
        <v>81722041</v>
      </c>
      <c r="T43" s="17">
        <f t="shared" si="3"/>
        <v>49044031</v>
      </c>
      <c r="U43" s="17">
        <f t="shared" si="4"/>
        <v>49</v>
      </c>
      <c r="V43" s="17">
        <f t="shared" si="5"/>
        <v>41</v>
      </c>
      <c r="W43" s="17" t="str">
        <f t="shared" si="7"/>
        <v>LL Platz 3 Rang 3</v>
      </c>
    </row>
    <row r="44" spans="1:23" x14ac:dyDescent="0.35">
      <c r="A44" s="17"/>
      <c r="B44" s="17"/>
      <c r="C44" s="16"/>
      <c r="D44" s="18">
        <v>4</v>
      </c>
      <c r="E44" s="18" t="s">
        <v>125</v>
      </c>
      <c r="F44" s="18">
        <v>18</v>
      </c>
      <c r="G44" s="18">
        <v>8</v>
      </c>
      <c r="H44" s="18">
        <v>3</v>
      </c>
      <c r="I44" s="18">
        <v>7</v>
      </c>
      <c r="J44" s="18">
        <v>495</v>
      </c>
      <c r="K44" s="18" t="s">
        <v>20</v>
      </c>
      <c r="L44" s="19">
        <v>515</v>
      </c>
      <c r="M44" s="18">
        <v>19</v>
      </c>
      <c r="N44" s="18" t="s">
        <v>20</v>
      </c>
      <c r="O44" s="19">
        <v>17</v>
      </c>
      <c r="P44" s="17">
        <v>7</v>
      </c>
      <c r="Q44" s="17">
        <f t="shared" si="0"/>
        <v>309542222</v>
      </c>
      <c r="R44" s="17">
        <f t="shared" si="1"/>
        <v>27500</v>
      </c>
      <c r="S44" s="17">
        <f t="shared" si="2"/>
        <v>82500042</v>
      </c>
      <c r="T44" s="17">
        <f t="shared" si="3"/>
        <v>53122024</v>
      </c>
      <c r="U44" s="17">
        <f t="shared" si="4"/>
        <v>54</v>
      </c>
      <c r="V44" s="17">
        <f t="shared" si="5"/>
        <v>42</v>
      </c>
      <c r="W44" s="17" t="str">
        <f t="shared" si="7"/>
        <v>LL Platz 4 Rang 4</v>
      </c>
    </row>
    <row r="45" spans="1:23" x14ac:dyDescent="0.35">
      <c r="A45" s="17"/>
      <c r="B45" s="17"/>
      <c r="C45" s="16"/>
      <c r="D45" s="18">
        <v>5</v>
      </c>
      <c r="E45" s="18" t="s">
        <v>126</v>
      </c>
      <c r="F45" s="18">
        <v>18</v>
      </c>
      <c r="G45" s="18">
        <v>7</v>
      </c>
      <c r="H45" s="18">
        <v>2</v>
      </c>
      <c r="I45" s="18">
        <v>9</v>
      </c>
      <c r="J45" s="18">
        <v>485</v>
      </c>
      <c r="K45" s="18" t="s">
        <v>20</v>
      </c>
      <c r="L45" s="19">
        <v>485</v>
      </c>
      <c r="M45" s="18">
        <v>16</v>
      </c>
      <c r="N45" s="18" t="s">
        <v>20</v>
      </c>
      <c r="O45" s="19">
        <v>20</v>
      </c>
      <c r="P45" s="17">
        <v>7</v>
      </c>
      <c r="Q45" s="17">
        <f t="shared" si="0"/>
        <v>309435555</v>
      </c>
      <c r="R45" s="17">
        <f t="shared" si="1"/>
        <v>26944</v>
      </c>
      <c r="S45" s="17">
        <f t="shared" si="2"/>
        <v>84166043</v>
      </c>
      <c r="T45" s="17">
        <f t="shared" si="3"/>
        <v>58133009</v>
      </c>
      <c r="U45" s="17">
        <f t="shared" si="4"/>
        <v>58</v>
      </c>
      <c r="V45" s="17">
        <f t="shared" si="5"/>
        <v>43</v>
      </c>
      <c r="W45" s="17" t="str">
        <f t="shared" si="7"/>
        <v>LL Platz 5 Rang 4</v>
      </c>
    </row>
    <row r="46" spans="1:23" x14ac:dyDescent="0.35">
      <c r="A46" s="17"/>
      <c r="B46" s="17"/>
      <c r="C46" s="16"/>
      <c r="D46" s="18">
        <v>6</v>
      </c>
      <c r="E46" s="18" t="s">
        <v>123</v>
      </c>
      <c r="F46" s="18">
        <v>18</v>
      </c>
      <c r="G46" s="18">
        <v>7</v>
      </c>
      <c r="H46" s="18">
        <v>2</v>
      </c>
      <c r="I46" s="18">
        <v>9</v>
      </c>
      <c r="J46" s="18">
        <v>485</v>
      </c>
      <c r="K46" s="18" t="s">
        <v>20</v>
      </c>
      <c r="L46" s="19">
        <v>478</v>
      </c>
      <c r="M46" s="18">
        <v>16</v>
      </c>
      <c r="N46" s="18" t="s">
        <v>20</v>
      </c>
      <c r="O46" s="19">
        <v>20</v>
      </c>
      <c r="P46" s="17">
        <v>7</v>
      </c>
      <c r="Q46" s="17">
        <f t="shared" si="0"/>
        <v>309335555</v>
      </c>
      <c r="R46" s="17">
        <f t="shared" si="1"/>
        <v>26944</v>
      </c>
      <c r="S46" s="17">
        <f t="shared" si="2"/>
        <v>84555044</v>
      </c>
      <c r="T46" s="17">
        <f t="shared" si="3"/>
        <v>61133006</v>
      </c>
      <c r="U46" s="17">
        <f t="shared" si="4"/>
        <v>61</v>
      </c>
      <c r="V46" s="17">
        <f t="shared" si="5"/>
        <v>44</v>
      </c>
      <c r="W46" s="17" t="str">
        <f t="shared" si="7"/>
        <v>LL Platz 6 Rang 3</v>
      </c>
    </row>
    <row r="47" spans="1:23" x14ac:dyDescent="0.35">
      <c r="A47" s="17"/>
      <c r="B47" s="17"/>
      <c r="C47" s="16"/>
      <c r="D47" s="18">
        <v>7</v>
      </c>
      <c r="E47" s="18" t="s">
        <v>124</v>
      </c>
      <c r="F47" s="18">
        <v>18</v>
      </c>
      <c r="G47" s="18">
        <v>8</v>
      </c>
      <c r="H47" s="18">
        <v>0</v>
      </c>
      <c r="I47" s="18">
        <v>10</v>
      </c>
      <c r="J47" s="18">
        <v>492</v>
      </c>
      <c r="K47" s="18" t="s">
        <v>20</v>
      </c>
      <c r="L47" s="19">
        <v>491</v>
      </c>
      <c r="M47" s="18">
        <v>16</v>
      </c>
      <c r="N47" s="18" t="s">
        <v>20</v>
      </c>
      <c r="O47" s="19">
        <v>20</v>
      </c>
      <c r="P47" s="17">
        <v>7</v>
      </c>
      <c r="Q47" s="17">
        <f t="shared" si="0"/>
        <v>309235555</v>
      </c>
      <c r="R47" s="17">
        <f t="shared" si="1"/>
        <v>27333</v>
      </c>
      <c r="S47" s="17">
        <f t="shared" si="2"/>
        <v>83833045</v>
      </c>
      <c r="T47" s="17">
        <f t="shared" si="3"/>
        <v>64124014</v>
      </c>
      <c r="U47" s="17">
        <f t="shared" si="4"/>
        <v>64</v>
      </c>
      <c r="V47" s="17">
        <f t="shared" si="5"/>
        <v>45</v>
      </c>
      <c r="W47" s="17" t="str">
        <f t="shared" si="7"/>
        <v>LL Platz 7 Rang 2</v>
      </c>
    </row>
    <row r="48" spans="1:23" x14ac:dyDescent="0.35">
      <c r="A48" s="17"/>
      <c r="B48" s="17"/>
      <c r="C48" s="16"/>
      <c r="D48" s="18">
        <v>8</v>
      </c>
      <c r="E48" s="18" t="s">
        <v>130</v>
      </c>
      <c r="F48" s="18">
        <v>18</v>
      </c>
      <c r="G48" s="18">
        <v>7</v>
      </c>
      <c r="H48" s="18">
        <v>2</v>
      </c>
      <c r="I48" s="18">
        <v>9</v>
      </c>
      <c r="J48" s="18">
        <v>477</v>
      </c>
      <c r="K48" s="18" t="s">
        <v>20</v>
      </c>
      <c r="L48" s="19">
        <v>482</v>
      </c>
      <c r="M48" s="18">
        <v>16</v>
      </c>
      <c r="N48" s="18" t="s">
        <v>20</v>
      </c>
      <c r="O48" s="19">
        <v>20</v>
      </c>
      <c r="P48" s="17">
        <v>7</v>
      </c>
      <c r="Q48" s="17">
        <f t="shared" si="0"/>
        <v>309135555</v>
      </c>
      <c r="R48" s="17">
        <f t="shared" si="1"/>
        <v>26500</v>
      </c>
      <c r="S48" s="17">
        <f t="shared" si="2"/>
        <v>84333046</v>
      </c>
      <c r="T48" s="17">
        <f t="shared" si="3"/>
        <v>67140007</v>
      </c>
      <c r="U48" s="17">
        <f t="shared" si="4"/>
        <v>67</v>
      </c>
      <c r="V48" s="17">
        <f t="shared" si="5"/>
        <v>46</v>
      </c>
      <c r="W48" s="17" t="str">
        <f t="shared" si="7"/>
        <v>LL Platz 8 Rang 1</v>
      </c>
    </row>
    <row r="49" spans="1:23" x14ac:dyDescent="0.35">
      <c r="A49" s="17"/>
      <c r="B49" s="17"/>
      <c r="C49" s="16"/>
      <c r="D49" s="18">
        <v>9</v>
      </c>
      <c r="E49" s="18" t="s">
        <v>129</v>
      </c>
      <c r="F49" s="18">
        <v>18</v>
      </c>
      <c r="G49" s="18">
        <v>8</v>
      </c>
      <c r="H49" s="18">
        <v>0</v>
      </c>
      <c r="I49" s="18">
        <v>10</v>
      </c>
      <c r="J49" s="18">
        <v>501</v>
      </c>
      <c r="K49" s="18" t="s">
        <v>20</v>
      </c>
      <c r="L49" s="19">
        <v>528</v>
      </c>
      <c r="M49" s="18">
        <v>16</v>
      </c>
      <c r="N49" s="18" t="s">
        <v>20</v>
      </c>
      <c r="O49" s="19">
        <v>20</v>
      </c>
      <c r="P49" s="17">
        <v>7</v>
      </c>
      <c r="Q49" s="17">
        <f t="shared" si="0"/>
        <v>309035555</v>
      </c>
      <c r="R49" s="17">
        <f t="shared" si="1"/>
        <v>27833</v>
      </c>
      <c r="S49" s="17">
        <f t="shared" si="2"/>
        <v>81777047</v>
      </c>
      <c r="T49" s="17">
        <f t="shared" si="3"/>
        <v>71113030</v>
      </c>
      <c r="U49" s="17">
        <f t="shared" si="4"/>
        <v>71</v>
      </c>
      <c r="V49" s="17">
        <f t="shared" si="5"/>
        <v>47</v>
      </c>
      <c r="W49" s="17" t="str">
        <f t="shared" si="7"/>
        <v>LL Platz 9 Rang 1</v>
      </c>
    </row>
    <row r="50" spans="1:23" x14ac:dyDescent="0.35">
      <c r="A50" s="17"/>
      <c r="B50" s="17"/>
      <c r="C50" s="16"/>
      <c r="D50" s="18">
        <v>10</v>
      </c>
      <c r="E50" s="18" t="s">
        <v>128</v>
      </c>
      <c r="F50" s="18">
        <v>18</v>
      </c>
      <c r="G50" s="18">
        <v>4</v>
      </c>
      <c r="H50" s="18">
        <v>0</v>
      </c>
      <c r="I50" s="18">
        <v>14</v>
      </c>
      <c r="J50" s="18">
        <v>471</v>
      </c>
      <c r="K50" s="18" t="s">
        <v>20</v>
      </c>
      <c r="L50" s="19">
        <v>535</v>
      </c>
      <c r="M50" s="18">
        <v>8</v>
      </c>
      <c r="N50" s="18" t="s">
        <v>20</v>
      </c>
      <c r="O50" s="19">
        <v>28</v>
      </c>
      <c r="P50" s="17">
        <v>7</v>
      </c>
      <c r="Q50" s="17">
        <f t="shared" si="0"/>
        <v>308917777</v>
      </c>
      <c r="R50" s="17">
        <f t="shared" si="1"/>
        <v>26166</v>
      </c>
      <c r="S50" s="17">
        <f t="shared" si="2"/>
        <v>81388048</v>
      </c>
      <c r="T50" s="17">
        <f t="shared" si="3"/>
        <v>75148032</v>
      </c>
      <c r="U50" s="17">
        <f t="shared" si="4"/>
        <v>76</v>
      </c>
      <c r="V50" s="17">
        <f t="shared" si="5"/>
        <v>48</v>
      </c>
      <c r="W50" s="17" t="str">
        <f t="shared" si="7"/>
        <v>LL Platz 10 Rang 2</v>
      </c>
    </row>
    <row r="51" spans="1:23" x14ac:dyDescent="0.35">
      <c r="A51" s="17"/>
      <c r="B51" s="17"/>
      <c r="C51" s="16" t="s">
        <v>510</v>
      </c>
      <c r="D51" s="18">
        <v>1</v>
      </c>
      <c r="E51" s="18" t="s">
        <v>131</v>
      </c>
      <c r="F51" s="18">
        <v>18</v>
      </c>
      <c r="G51" s="18">
        <v>16</v>
      </c>
      <c r="H51" s="18">
        <v>0</v>
      </c>
      <c r="I51" s="18">
        <v>2</v>
      </c>
      <c r="J51" s="18">
        <v>534</v>
      </c>
      <c r="K51" s="18" t="s">
        <v>20</v>
      </c>
      <c r="L51" s="19">
        <v>451</v>
      </c>
      <c r="M51" s="18">
        <v>32</v>
      </c>
      <c r="N51" s="18" t="s">
        <v>20</v>
      </c>
      <c r="O51" s="19">
        <v>4</v>
      </c>
      <c r="P51" s="17">
        <v>7</v>
      </c>
      <c r="Q51" s="17">
        <f t="shared" si="0"/>
        <v>309871111</v>
      </c>
      <c r="R51" s="17">
        <f t="shared" si="1"/>
        <v>29666</v>
      </c>
      <c r="S51" s="17">
        <f t="shared" si="2"/>
        <v>86055049</v>
      </c>
      <c r="T51" s="17">
        <f t="shared" si="3"/>
        <v>39061001</v>
      </c>
      <c r="U51" s="17">
        <f t="shared" si="4"/>
        <v>39</v>
      </c>
      <c r="V51" s="17">
        <f t="shared" si="5"/>
        <v>49</v>
      </c>
      <c r="W51" s="17" t="str">
        <f t="shared" si="7"/>
        <v>LL Platz 1 Rang 1</v>
      </c>
    </row>
    <row r="52" spans="1:23" x14ac:dyDescent="0.35">
      <c r="A52" s="17"/>
      <c r="B52" s="17"/>
      <c r="C52" s="16"/>
      <c r="D52" s="18">
        <v>2</v>
      </c>
      <c r="E52" s="18" t="s">
        <v>132</v>
      </c>
      <c r="F52" s="18">
        <v>18</v>
      </c>
      <c r="G52" s="18">
        <v>11</v>
      </c>
      <c r="H52" s="18">
        <v>0</v>
      </c>
      <c r="I52" s="18">
        <v>7</v>
      </c>
      <c r="J52" s="18">
        <v>528</v>
      </c>
      <c r="K52" s="18" t="s">
        <v>20</v>
      </c>
      <c r="L52" s="19">
        <v>490</v>
      </c>
      <c r="M52" s="18">
        <v>22</v>
      </c>
      <c r="N52" s="18" t="s">
        <v>20</v>
      </c>
      <c r="O52" s="19">
        <v>14</v>
      </c>
      <c r="P52" s="17">
        <v>7</v>
      </c>
      <c r="Q52" s="17">
        <f t="shared" si="0"/>
        <v>309748888</v>
      </c>
      <c r="R52" s="17">
        <f t="shared" si="1"/>
        <v>29333</v>
      </c>
      <c r="S52" s="17">
        <f t="shared" si="2"/>
        <v>83888050</v>
      </c>
      <c r="T52" s="17">
        <f t="shared" si="3"/>
        <v>46072013</v>
      </c>
      <c r="U52" s="17">
        <f t="shared" si="4"/>
        <v>46</v>
      </c>
      <c r="V52" s="17">
        <f t="shared" si="5"/>
        <v>50</v>
      </c>
      <c r="W52" s="17" t="str">
        <f t="shared" si="7"/>
        <v>LL Platz 2 Rang 4</v>
      </c>
    </row>
    <row r="53" spans="1:23" x14ac:dyDescent="0.35">
      <c r="A53" s="17"/>
      <c r="B53" s="17"/>
      <c r="C53" s="16"/>
      <c r="D53" s="18">
        <v>3</v>
      </c>
      <c r="E53" s="18" t="s">
        <v>133</v>
      </c>
      <c r="F53" s="18">
        <v>18</v>
      </c>
      <c r="G53" s="18">
        <v>10</v>
      </c>
      <c r="H53" s="18">
        <v>0</v>
      </c>
      <c r="I53" s="18">
        <v>8</v>
      </c>
      <c r="J53" s="18">
        <v>509</v>
      </c>
      <c r="K53" s="18" t="s">
        <v>20</v>
      </c>
      <c r="L53" s="19">
        <v>492</v>
      </c>
      <c r="M53" s="18">
        <v>20</v>
      </c>
      <c r="N53" s="18" t="s">
        <v>20</v>
      </c>
      <c r="O53" s="19">
        <v>16</v>
      </c>
      <c r="P53" s="17">
        <v>7</v>
      </c>
      <c r="Q53" s="17">
        <f t="shared" si="0"/>
        <v>309644444</v>
      </c>
      <c r="R53" s="17">
        <f t="shared" si="1"/>
        <v>28277</v>
      </c>
      <c r="S53" s="17">
        <f t="shared" si="2"/>
        <v>83777051</v>
      </c>
      <c r="T53" s="17">
        <f t="shared" si="3"/>
        <v>49101015</v>
      </c>
      <c r="U53" s="17">
        <f t="shared" si="4"/>
        <v>50</v>
      </c>
      <c r="V53" s="17">
        <f t="shared" si="5"/>
        <v>51</v>
      </c>
      <c r="W53" s="17" t="str">
        <f t="shared" si="7"/>
        <v>LL Platz 3 Rang 4</v>
      </c>
    </row>
    <row r="54" spans="1:23" x14ac:dyDescent="0.35">
      <c r="A54" s="17"/>
      <c r="B54" s="17"/>
      <c r="C54" s="16"/>
      <c r="D54" s="18">
        <v>4</v>
      </c>
      <c r="E54" s="18" t="s">
        <v>136</v>
      </c>
      <c r="F54" s="18">
        <v>18</v>
      </c>
      <c r="G54" s="18">
        <v>9</v>
      </c>
      <c r="H54" s="18">
        <v>1</v>
      </c>
      <c r="I54" s="18">
        <v>8</v>
      </c>
      <c r="J54" s="18">
        <v>515</v>
      </c>
      <c r="K54" s="18" t="s">
        <v>20</v>
      </c>
      <c r="L54" s="19">
        <v>518</v>
      </c>
      <c r="M54" s="18">
        <v>19</v>
      </c>
      <c r="N54" s="18" t="s">
        <v>20</v>
      </c>
      <c r="O54" s="19">
        <v>17</v>
      </c>
      <c r="P54" s="17">
        <v>7</v>
      </c>
      <c r="Q54" s="17">
        <f t="shared" si="0"/>
        <v>309542222</v>
      </c>
      <c r="R54" s="17">
        <f t="shared" si="1"/>
        <v>28611</v>
      </c>
      <c r="S54" s="17">
        <f t="shared" si="2"/>
        <v>82333052</v>
      </c>
      <c r="T54" s="17">
        <f t="shared" si="3"/>
        <v>53094025</v>
      </c>
      <c r="U54" s="17">
        <f t="shared" si="4"/>
        <v>53</v>
      </c>
      <c r="V54" s="17">
        <f t="shared" si="5"/>
        <v>52</v>
      </c>
      <c r="W54" s="17" t="str">
        <f t="shared" si="7"/>
        <v>LL Platz 4 Rang 3</v>
      </c>
    </row>
    <row r="55" spans="1:23" x14ac:dyDescent="0.35">
      <c r="A55" s="17"/>
      <c r="B55" s="17"/>
      <c r="C55" s="16"/>
      <c r="D55" s="18">
        <v>5</v>
      </c>
      <c r="E55" s="18" t="s">
        <v>134</v>
      </c>
      <c r="F55" s="18">
        <v>18</v>
      </c>
      <c r="G55" s="18">
        <v>9</v>
      </c>
      <c r="H55" s="18">
        <v>0</v>
      </c>
      <c r="I55" s="18">
        <v>9</v>
      </c>
      <c r="J55" s="18">
        <v>505</v>
      </c>
      <c r="K55" s="18" t="s">
        <v>20</v>
      </c>
      <c r="L55" s="19">
        <v>505</v>
      </c>
      <c r="M55" s="18">
        <v>18</v>
      </c>
      <c r="N55" s="18" t="s">
        <v>20</v>
      </c>
      <c r="O55" s="19">
        <v>18</v>
      </c>
      <c r="P55" s="17">
        <v>7</v>
      </c>
      <c r="Q55" s="17">
        <f t="shared" si="0"/>
        <v>309440000</v>
      </c>
      <c r="R55" s="17">
        <f t="shared" si="1"/>
        <v>28055</v>
      </c>
      <c r="S55" s="17">
        <f t="shared" si="2"/>
        <v>83055053</v>
      </c>
      <c r="T55" s="17">
        <f t="shared" si="3"/>
        <v>56107019</v>
      </c>
      <c r="U55" s="17">
        <f t="shared" si="4"/>
        <v>56</v>
      </c>
      <c r="V55" s="17">
        <f t="shared" si="5"/>
        <v>53</v>
      </c>
      <c r="W55" s="17" t="str">
        <f t="shared" si="7"/>
        <v>LL Platz 5 Rang 2</v>
      </c>
    </row>
    <row r="56" spans="1:23" x14ac:dyDescent="0.35">
      <c r="A56" s="17"/>
      <c r="B56" s="17"/>
      <c r="C56" s="16"/>
      <c r="D56" s="18">
        <v>6</v>
      </c>
      <c r="E56" s="18" t="s">
        <v>138</v>
      </c>
      <c r="F56" s="18">
        <v>18</v>
      </c>
      <c r="G56" s="18">
        <v>8</v>
      </c>
      <c r="H56" s="18">
        <v>1</v>
      </c>
      <c r="I56" s="18">
        <v>9</v>
      </c>
      <c r="J56" s="18">
        <v>457</v>
      </c>
      <c r="K56" s="18" t="s">
        <v>20</v>
      </c>
      <c r="L56" s="19">
        <v>484</v>
      </c>
      <c r="M56" s="18">
        <v>17</v>
      </c>
      <c r="N56" s="18" t="s">
        <v>20</v>
      </c>
      <c r="O56" s="19">
        <v>19</v>
      </c>
      <c r="P56" s="17">
        <v>7</v>
      </c>
      <c r="Q56" s="17">
        <f t="shared" si="0"/>
        <v>309337777</v>
      </c>
      <c r="R56" s="17">
        <f t="shared" si="1"/>
        <v>25388</v>
      </c>
      <c r="S56" s="17">
        <f t="shared" si="2"/>
        <v>84222054</v>
      </c>
      <c r="T56" s="17">
        <f t="shared" si="3"/>
        <v>60156008</v>
      </c>
      <c r="U56" s="17">
        <f t="shared" si="4"/>
        <v>60</v>
      </c>
      <c r="V56" s="17">
        <f t="shared" si="5"/>
        <v>54</v>
      </c>
      <c r="W56" s="17" t="str">
        <f t="shared" si="7"/>
        <v>LL Platz 6 Rang 2</v>
      </c>
    </row>
    <row r="57" spans="1:23" x14ac:dyDescent="0.35">
      <c r="A57" s="17"/>
      <c r="B57" s="17"/>
      <c r="C57" s="16"/>
      <c r="D57" s="18">
        <v>7</v>
      </c>
      <c r="E57" s="18" t="s">
        <v>135</v>
      </c>
      <c r="F57" s="18">
        <v>18</v>
      </c>
      <c r="G57" s="18">
        <v>8</v>
      </c>
      <c r="H57" s="18">
        <v>1</v>
      </c>
      <c r="I57" s="18">
        <v>9</v>
      </c>
      <c r="J57" s="18">
        <v>489</v>
      </c>
      <c r="K57" s="18" t="s">
        <v>20</v>
      </c>
      <c r="L57" s="19">
        <v>469</v>
      </c>
      <c r="M57" s="18">
        <v>17</v>
      </c>
      <c r="N57" s="18" t="s">
        <v>20</v>
      </c>
      <c r="O57" s="19">
        <v>19</v>
      </c>
      <c r="P57" s="17">
        <v>7</v>
      </c>
      <c r="Q57" s="17">
        <f t="shared" si="0"/>
        <v>309237777</v>
      </c>
      <c r="R57" s="17">
        <f t="shared" si="1"/>
        <v>27166</v>
      </c>
      <c r="S57" s="17">
        <f t="shared" si="2"/>
        <v>85055055</v>
      </c>
      <c r="T57" s="17">
        <f t="shared" si="3"/>
        <v>63125004</v>
      </c>
      <c r="U57" s="17">
        <f t="shared" si="4"/>
        <v>63</v>
      </c>
      <c r="V57" s="17">
        <f t="shared" si="5"/>
        <v>55</v>
      </c>
      <c r="W57" s="17" t="str">
        <f t="shared" si="7"/>
        <v>LL Platz 7 Rang 1</v>
      </c>
    </row>
    <row r="58" spans="1:23" x14ac:dyDescent="0.35">
      <c r="A58" s="17"/>
      <c r="B58" s="17"/>
      <c r="C58" s="16"/>
      <c r="D58" s="18">
        <v>8</v>
      </c>
      <c r="E58" s="18" t="s">
        <v>137</v>
      </c>
      <c r="F58" s="18">
        <v>18</v>
      </c>
      <c r="G58" s="18">
        <v>8</v>
      </c>
      <c r="H58" s="18">
        <v>0</v>
      </c>
      <c r="I58" s="18">
        <v>10</v>
      </c>
      <c r="J58" s="18">
        <v>473</v>
      </c>
      <c r="K58" s="18" t="s">
        <v>20</v>
      </c>
      <c r="L58" s="19">
        <v>486</v>
      </c>
      <c r="M58" s="18">
        <v>16</v>
      </c>
      <c r="N58" s="18" t="s">
        <v>20</v>
      </c>
      <c r="O58" s="19">
        <v>20</v>
      </c>
      <c r="P58" s="17">
        <v>7</v>
      </c>
      <c r="Q58" s="17">
        <f t="shared" si="0"/>
        <v>309135555</v>
      </c>
      <c r="R58" s="17">
        <f t="shared" si="1"/>
        <v>26277</v>
      </c>
      <c r="S58" s="17">
        <f t="shared" si="2"/>
        <v>84111056</v>
      </c>
      <c r="T58" s="17">
        <f t="shared" si="3"/>
        <v>67145010</v>
      </c>
      <c r="U58" s="17">
        <f t="shared" si="4"/>
        <v>68</v>
      </c>
      <c r="V58" s="17">
        <f t="shared" si="5"/>
        <v>56</v>
      </c>
      <c r="W58" s="17" t="str">
        <f t="shared" si="7"/>
        <v>LL Platz 8 Rang 2</v>
      </c>
    </row>
    <row r="59" spans="1:23" x14ac:dyDescent="0.35">
      <c r="A59" s="17"/>
      <c r="B59" s="17"/>
      <c r="C59" s="16"/>
      <c r="D59" s="18">
        <v>9</v>
      </c>
      <c r="E59" s="18" t="s">
        <v>139</v>
      </c>
      <c r="F59" s="18">
        <v>18</v>
      </c>
      <c r="G59" s="18">
        <v>7</v>
      </c>
      <c r="H59" s="18">
        <v>1</v>
      </c>
      <c r="I59" s="18">
        <v>10</v>
      </c>
      <c r="J59" s="18">
        <v>473</v>
      </c>
      <c r="K59" s="18" t="s">
        <v>20</v>
      </c>
      <c r="L59" s="19">
        <v>510</v>
      </c>
      <c r="M59" s="18">
        <v>15</v>
      </c>
      <c r="N59" s="18" t="s">
        <v>20</v>
      </c>
      <c r="O59" s="19">
        <v>21</v>
      </c>
      <c r="P59" s="17">
        <v>7</v>
      </c>
      <c r="Q59" s="17">
        <f t="shared" si="0"/>
        <v>309033333</v>
      </c>
      <c r="R59" s="17">
        <f t="shared" si="1"/>
        <v>26277</v>
      </c>
      <c r="S59" s="17">
        <f t="shared" si="2"/>
        <v>82777057</v>
      </c>
      <c r="T59" s="17">
        <f t="shared" si="3"/>
        <v>72145023</v>
      </c>
      <c r="U59" s="17">
        <f t="shared" si="4"/>
        <v>72</v>
      </c>
      <c r="V59" s="17">
        <f t="shared" si="5"/>
        <v>57</v>
      </c>
      <c r="W59" s="17" t="str">
        <f t="shared" si="7"/>
        <v>LL Platz 9 Rang 2</v>
      </c>
    </row>
    <row r="60" spans="1:23" x14ac:dyDescent="0.35">
      <c r="A60" s="17"/>
      <c r="B60" s="17"/>
      <c r="C60" s="16"/>
      <c r="D60" s="18">
        <v>10</v>
      </c>
      <c r="E60" s="18" t="s">
        <v>140</v>
      </c>
      <c r="F60" s="18">
        <v>18</v>
      </c>
      <c r="G60" s="18">
        <v>2</v>
      </c>
      <c r="H60" s="18">
        <v>0</v>
      </c>
      <c r="I60" s="18">
        <v>16</v>
      </c>
      <c r="J60" s="18">
        <v>489</v>
      </c>
      <c r="K60" s="18" t="s">
        <v>20</v>
      </c>
      <c r="L60" s="19">
        <v>567</v>
      </c>
      <c r="M60" s="18">
        <v>4</v>
      </c>
      <c r="N60" s="18" t="s">
        <v>20</v>
      </c>
      <c r="O60" s="19">
        <v>32</v>
      </c>
      <c r="P60" s="17">
        <v>7</v>
      </c>
      <c r="Q60" s="17">
        <f t="shared" si="0"/>
        <v>308908888</v>
      </c>
      <c r="R60" s="17">
        <f t="shared" si="1"/>
        <v>27166</v>
      </c>
      <c r="S60" s="17">
        <f t="shared" si="2"/>
        <v>79611058</v>
      </c>
      <c r="T60" s="17">
        <f t="shared" si="3"/>
        <v>78125043</v>
      </c>
      <c r="U60" s="17">
        <f t="shared" si="4"/>
        <v>78</v>
      </c>
      <c r="V60" s="17">
        <f t="shared" si="5"/>
        <v>58</v>
      </c>
      <c r="W60" s="17" t="str">
        <f t="shared" si="7"/>
        <v>LL Platz 10 Rang 4</v>
      </c>
    </row>
    <row r="61" spans="1:23" x14ac:dyDescent="0.35">
      <c r="A61" s="17"/>
      <c r="B61" s="17"/>
      <c r="C61" s="16" t="s">
        <v>511</v>
      </c>
      <c r="D61" s="18">
        <v>1</v>
      </c>
      <c r="E61" s="18" t="s">
        <v>141</v>
      </c>
      <c r="F61" s="18">
        <v>18</v>
      </c>
      <c r="G61" s="18">
        <v>14</v>
      </c>
      <c r="H61" s="18">
        <v>2</v>
      </c>
      <c r="I61" s="18">
        <v>2</v>
      </c>
      <c r="J61" s="18">
        <v>585</v>
      </c>
      <c r="K61" s="18" t="s">
        <v>20</v>
      </c>
      <c r="L61" s="19">
        <v>473</v>
      </c>
      <c r="M61" s="18">
        <v>30</v>
      </c>
      <c r="N61" s="18" t="s">
        <v>20</v>
      </c>
      <c r="O61" s="19">
        <v>6</v>
      </c>
      <c r="P61" s="17">
        <v>7</v>
      </c>
      <c r="Q61" s="17">
        <f t="shared" si="0"/>
        <v>309866666</v>
      </c>
      <c r="R61" s="17">
        <f t="shared" si="1"/>
        <v>32500</v>
      </c>
      <c r="S61" s="17">
        <f t="shared" si="2"/>
        <v>84833059</v>
      </c>
      <c r="T61" s="17">
        <f t="shared" si="3"/>
        <v>40012005</v>
      </c>
      <c r="U61" s="17">
        <f t="shared" si="4"/>
        <v>40</v>
      </c>
      <c r="V61" s="17">
        <f t="shared" si="5"/>
        <v>59</v>
      </c>
      <c r="W61" s="17" t="str">
        <f t="shared" si="7"/>
        <v>LL Platz 1 Rang 2</v>
      </c>
    </row>
    <row r="62" spans="1:23" x14ac:dyDescent="0.35">
      <c r="A62" s="17"/>
      <c r="B62" s="17"/>
      <c r="C62" s="16"/>
      <c r="D62" s="18">
        <v>2</v>
      </c>
      <c r="E62" s="18" t="s">
        <v>143</v>
      </c>
      <c r="F62" s="18">
        <v>18</v>
      </c>
      <c r="G62" s="18">
        <v>12</v>
      </c>
      <c r="H62" s="18">
        <v>0</v>
      </c>
      <c r="I62" s="18">
        <v>6</v>
      </c>
      <c r="J62" s="18">
        <v>578</v>
      </c>
      <c r="K62" s="18" t="s">
        <v>20</v>
      </c>
      <c r="L62" s="19">
        <v>528</v>
      </c>
      <c r="M62" s="18">
        <v>24</v>
      </c>
      <c r="N62" s="18" t="s">
        <v>20</v>
      </c>
      <c r="O62" s="19">
        <v>12</v>
      </c>
      <c r="P62" s="17">
        <v>7</v>
      </c>
      <c r="Q62" s="17">
        <f t="shared" si="0"/>
        <v>309753333</v>
      </c>
      <c r="R62" s="17">
        <f t="shared" si="1"/>
        <v>32111</v>
      </c>
      <c r="S62" s="17">
        <f t="shared" si="2"/>
        <v>81777060</v>
      </c>
      <c r="T62" s="17">
        <f t="shared" si="3"/>
        <v>43015029</v>
      </c>
      <c r="U62" s="17">
        <f t="shared" si="4"/>
        <v>43</v>
      </c>
      <c r="V62" s="17">
        <f t="shared" si="5"/>
        <v>60</v>
      </c>
      <c r="W62" s="17" t="str">
        <f t="shared" si="7"/>
        <v>LL Platz 2 Rang 1</v>
      </c>
    </row>
    <row r="63" spans="1:23" x14ac:dyDescent="0.35">
      <c r="A63" s="17"/>
      <c r="B63" s="17"/>
      <c r="C63" s="16"/>
      <c r="D63" s="18">
        <v>3</v>
      </c>
      <c r="E63" s="18" t="s">
        <v>142</v>
      </c>
      <c r="F63" s="18">
        <v>18</v>
      </c>
      <c r="G63" s="18">
        <v>12</v>
      </c>
      <c r="H63" s="18">
        <v>0</v>
      </c>
      <c r="I63" s="18">
        <v>6</v>
      </c>
      <c r="J63" s="18">
        <v>579</v>
      </c>
      <c r="K63" s="18" t="s">
        <v>20</v>
      </c>
      <c r="L63" s="19">
        <v>501</v>
      </c>
      <c r="M63" s="18">
        <v>24</v>
      </c>
      <c r="N63" s="18" t="s">
        <v>20</v>
      </c>
      <c r="O63" s="19">
        <v>12</v>
      </c>
      <c r="P63" s="17">
        <v>7</v>
      </c>
      <c r="Q63" s="17">
        <f t="shared" si="0"/>
        <v>309653333</v>
      </c>
      <c r="R63" s="17">
        <f t="shared" si="1"/>
        <v>32166</v>
      </c>
      <c r="S63" s="17">
        <f t="shared" si="2"/>
        <v>83277061</v>
      </c>
      <c r="T63" s="17">
        <f t="shared" si="3"/>
        <v>47014018</v>
      </c>
      <c r="U63" s="17">
        <f t="shared" si="4"/>
        <v>48</v>
      </c>
      <c r="V63" s="17">
        <f t="shared" si="5"/>
        <v>61</v>
      </c>
      <c r="W63" s="17" t="str">
        <f t="shared" si="7"/>
        <v>LL Platz 3 Rang 2</v>
      </c>
    </row>
    <row r="64" spans="1:23" x14ac:dyDescent="0.35">
      <c r="A64" s="17"/>
      <c r="B64" s="17"/>
      <c r="C64" s="16"/>
      <c r="D64" s="18">
        <v>4</v>
      </c>
      <c r="E64" s="18" t="s">
        <v>144</v>
      </c>
      <c r="F64" s="18">
        <v>18</v>
      </c>
      <c r="G64" s="18">
        <v>11</v>
      </c>
      <c r="H64" s="18">
        <v>1</v>
      </c>
      <c r="I64" s="18">
        <v>6</v>
      </c>
      <c r="J64" s="18">
        <v>567</v>
      </c>
      <c r="K64" s="18" t="s">
        <v>20</v>
      </c>
      <c r="L64" s="19">
        <v>499</v>
      </c>
      <c r="M64" s="18">
        <v>23</v>
      </c>
      <c r="N64" s="18" t="s">
        <v>20</v>
      </c>
      <c r="O64" s="19">
        <v>13</v>
      </c>
      <c r="P64" s="17">
        <v>7</v>
      </c>
      <c r="Q64" s="17">
        <f t="shared" si="0"/>
        <v>309551111</v>
      </c>
      <c r="R64" s="17">
        <f t="shared" si="1"/>
        <v>31500</v>
      </c>
      <c r="S64" s="17">
        <f t="shared" si="2"/>
        <v>83388062</v>
      </c>
      <c r="T64" s="17">
        <f t="shared" si="3"/>
        <v>51024017</v>
      </c>
      <c r="U64" s="17">
        <f t="shared" si="4"/>
        <v>52</v>
      </c>
      <c r="V64" s="17">
        <f t="shared" si="5"/>
        <v>62</v>
      </c>
      <c r="W64" s="17" t="str">
        <f t="shared" si="7"/>
        <v>LL Platz 4 Rang 2</v>
      </c>
    </row>
    <row r="65" spans="1:23" x14ac:dyDescent="0.35">
      <c r="A65" s="17"/>
      <c r="B65" s="17"/>
      <c r="C65" s="16"/>
      <c r="D65" s="18">
        <v>5</v>
      </c>
      <c r="E65" s="18" t="s">
        <v>146</v>
      </c>
      <c r="F65" s="18">
        <v>18</v>
      </c>
      <c r="G65" s="18">
        <v>8</v>
      </c>
      <c r="H65" s="18">
        <v>1</v>
      </c>
      <c r="I65" s="18">
        <v>9</v>
      </c>
      <c r="J65" s="18">
        <v>528</v>
      </c>
      <c r="K65" s="18" t="s">
        <v>20</v>
      </c>
      <c r="L65" s="19">
        <v>572</v>
      </c>
      <c r="M65" s="18">
        <v>17</v>
      </c>
      <c r="N65" s="18" t="s">
        <v>20</v>
      </c>
      <c r="O65" s="19">
        <v>19</v>
      </c>
      <c r="P65" s="17">
        <v>7</v>
      </c>
      <c r="Q65" s="17">
        <f t="shared" si="0"/>
        <v>309437777</v>
      </c>
      <c r="R65" s="17">
        <f t="shared" si="1"/>
        <v>29333</v>
      </c>
      <c r="S65" s="17">
        <f t="shared" si="2"/>
        <v>79333063</v>
      </c>
      <c r="T65" s="17">
        <f t="shared" si="3"/>
        <v>57072045</v>
      </c>
      <c r="U65" s="17">
        <f t="shared" si="4"/>
        <v>57</v>
      </c>
      <c r="V65" s="17">
        <f t="shared" si="5"/>
        <v>63</v>
      </c>
      <c r="W65" s="17" t="str">
        <f t="shared" si="7"/>
        <v>LL Platz 5 Rang 3</v>
      </c>
    </row>
    <row r="66" spans="1:23" x14ac:dyDescent="0.35">
      <c r="A66" s="17"/>
      <c r="B66" s="17"/>
      <c r="C66" s="16"/>
      <c r="D66" s="18">
        <v>6</v>
      </c>
      <c r="E66" s="18" t="s">
        <v>147</v>
      </c>
      <c r="F66" s="18">
        <v>18</v>
      </c>
      <c r="G66" s="18">
        <v>7</v>
      </c>
      <c r="H66" s="18">
        <v>1</v>
      </c>
      <c r="I66" s="18">
        <v>10</v>
      </c>
      <c r="J66" s="18">
        <v>527</v>
      </c>
      <c r="K66" s="18" t="s">
        <v>20</v>
      </c>
      <c r="L66" s="19">
        <v>550</v>
      </c>
      <c r="M66" s="18">
        <v>15</v>
      </c>
      <c r="N66" s="18" t="s">
        <v>20</v>
      </c>
      <c r="O66" s="19">
        <v>21</v>
      </c>
      <c r="P66" s="17">
        <v>7</v>
      </c>
      <c r="Q66" s="17">
        <f t="shared" si="0"/>
        <v>309333333</v>
      </c>
      <c r="R66" s="17">
        <f t="shared" si="1"/>
        <v>29277</v>
      </c>
      <c r="S66" s="17">
        <f t="shared" si="2"/>
        <v>80555064</v>
      </c>
      <c r="T66" s="17">
        <f t="shared" si="3"/>
        <v>62076037</v>
      </c>
      <c r="U66" s="17">
        <f t="shared" si="4"/>
        <v>62</v>
      </c>
      <c r="V66" s="17">
        <f t="shared" si="5"/>
        <v>64</v>
      </c>
      <c r="W66" s="17" t="str">
        <f t="shared" si="7"/>
        <v>LL Platz 6 Rang 4</v>
      </c>
    </row>
    <row r="67" spans="1:23" x14ac:dyDescent="0.35">
      <c r="A67" s="17"/>
      <c r="B67" s="17"/>
      <c r="C67" s="16"/>
      <c r="D67" s="18">
        <v>7</v>
      </c>
      <c r="E67" s="18" t="s">
        <v>145</v>
      </c>
      <c r="F67" s="18">
        <v>18</v>
      </c>
      <c r="G67" s="18">
        <v>7</v>
      </c>
      <c r="H67" s="18">
        <v>0</v>
      </c>
      <c r="I67" s="18">
        <v>11</v>
      </c>
      <c r="J67" s="18">
        <v>568</v>
      </c>
      <c r="K67" s="18" t="s">
        <v>20</v>
      </c>
      <c r="L67" s="19">
        <v>617</v>
      </c>
      <c r="M67" s="18">
        <v>14</v>
      </c>
      <c r="N67" s="18" t="s">
        <v>20</v>
      </c>
      <c r="O67" s="19">
        <v>22</v>
      </c>
      <c r="P67" s="17">
        <v>7</v>
      </c>
      <c r="Q67" s="17">
        <f t="shared" si="0"/>
        <v>309231111</v>
      </c>
      <c r="R67" s="17">
        <f t="shared" si="1"/>
        <v>31555</v>
      </c>
      <c r="S67" s="17">
        <f t="shared" si="2"/>
        <v>76833065</v>
      </c>
      <c r="T67" s="17">
        <f t="shared" si="3"/>
        <v>66021049</v>
      </c>
      <c r="U67" s="17">
        <f t="shared" si="4"/>
        <v>66</v>
      </c>
      <c r="V67" s="17">
        <f t="shared" si="5"/>
        <v>65</v>
      </c>
      <c r="W67" s="17" t="str">
        <f t="shared" si="7"/>
        <v>LL Platz 7 Rang 4</v>
      </c>
    </row>
    <row r="68" spans="1:23" x14ac:dyDescent="0.35">
      <c r="A68" s="17"/>
      <c r="B68" s="17"/>
      <c r="C68" s="16"/>
      <c r="D68" s="18">
        <v>8</v>
      </c>
      <c r="E68" s="18" t="s">
        <v>149</v>
      </c>
      <c r="F68" s="18">
        <v>18</v>
      </c>
      <c r="G68" s="18">
        <v>6</v>
      </c>
      <c r="H68" s="18">
        <v>1</v>
      </c>
      <c r="I68" s="18">
        <v>11</v>
      </c>
      <c r="J68" s="18">
        <v>509</v>
      </c>
      <c r="K68" s="18" t="s">
        <v>20</v>
      </c>
      <c r="L68" s="19">
        <v>579</v>
      </c>
      <c r="M68" s="18">
        <v>13</v>
      </c>
      <c r="N68" s="18" t="s">
        <v>20</v>
      </c>
      <c r="O68" s="19">
        <v>23</v>
      </c>
      <c r="P68" s="17">
        <v>7</v>
      </c>
      <c r="Q68" s="17">
        <f t="shared" ref="Q68:Q131" si="8">INT(40000*M68/F68)+100000*(99-D68+1000*(10-P68))</f>
        <v>309128888</v>
      </c>
      <c r="R68" s="17">
        <f t="shared" ref="R68:R131" si="9">INT(1000*J68/F68)</f>
        <v>28277</v>
      </c>
      <c r="S68" s="17">
        <f t="shared" ref="S68:S131" si="10">V68+1000*(INT(1000*(2000-L68)/F68))</f>
        <v>78944066</v>
      </c>
      <c r="T68" s="17">
        <f t="shared" ref="T68:T131" si="11">RANK(S68,S$3:S$171)+1000*RANK(R68,R$3:R$171)+1000000*RANK(Q68,Q$3:Q$171)</f>
        <v>69101046</v>
      </c>
      <c r="U68" s="17">
        <f t="shared" ref="U68:U131" si="12">RANK(T68,T$3:T$171,1)</f>
        <v>70</v>
      </c>
      <c r="V68" s="17">
        <f t="shared" si="5"/>
        <v>66</v>
      </c>
      <c r="W68" s="17" t="str">
        <f t="shared" si="7"/>
        <v>LL Platz 8 Rang 4</v>
      </c>
    </row>
    <row r="69" spans="1:23" x14ac:dyDescent="0.35">
      <c r="A69" s="17"/>
      <c r="B69" s="17"/>
      <c r="C69" s="16"/>
      <c r="D69" s="18">
        <v>9</v>
      </c>
      <c r="E69" s="18" t="s">
        <v>148</v>
      </c>
      <c r="F69" s="18">
        <v>18</v>
      </c>
      <c r="G69" s="18">
        <v>6</v>
      </c>
      <c r="H69" s="18">
        <v>0</v>
      </c>
      <c r="I69" s="18">
        <v>12</v>
      </c>
      <c r="J69" s="18">
        <v>533</v>
      </c>
      <c r="K69" s="18" t="s">
        <v>20</v>
      </c>
      <c r="L69" s="19">
        <v>563</v>
      </c>
      <c r="M69" s="18">
        <v>12</v>
      </c>
      <c r="N69" s="18" t="s">
        <v>20</v>
      </c>
      <c r="O69" s="19">
        <v>24</v>
      </c>
      <c r="P69" s="17">
        <v>7</v>
      </c>
      <c r="Q69" s="17">
        <f t="shared" si="8"/>
        <v>309026666</v>
      </c>
      <c r="R69" s="17">
        <f t="shared" si="9"/>
        <v>29611</v>
      </c>
      <c r="S69" s="17">
        <f t="shared" si="10"/>
        <v>79833067</v>
      </c>
      <c r="T69" s="17">
        <f t="shared" si="11"/>
        <v>73066042</v>
      </c>
      <c r="U69" s="17">
        <f t="shared" si="12"/>
        <v>73</v>
      </c>
      <c r="V69" s="17">
        <f t="shared" ref="V69:V80" si="13">+V68+1</f>
        <v>67</v>
      </c>
      <c r="W69" s="17" t="str">
        <f t="shared" si="7"/>
        <v>LL Platz 9 Rang 3</v>
      </c>
    </row>
    <row r="70" spans="1:23" x14ac:dyDescent="0.35">
      <c r="A70" s="17"/>
      <c r="B70" s="17"/>
      <c r="C70" s="16"/>
      <c r="D70" s="18">
        <v>10</v>
      </c>
      <c r="E70" s="18" t="s">
        <v>150</v>
      </c>
      <c r="F70" s="18">
        <v>18</v>
      </c>
      <c r="G70" s="18">
        <v>4</v>
      </c>
      <c r="H70" s="18">
        <v>0</v>
      </c>
      <c r="I70" s="18">
        <v>14</v>
      </c>
      <c r="J70" s="18">
        <v>552</v>
      </c>
      <c r="K70" s="18" t="s">
        <v>20</v>
      </c>
      <c r="L70" s="19">
        <v>644</v>
      </c>
      <c r="M70" s="18">
        <v>8</v>
      </c>
      <c r="N70" s="18" t="s">
        <v>20</v>
      </c>
      <c r="O70" s="19">
        <v>28</v>
      </c>
      <c r="P70" s="17">
        <v>7</v>
      </c>
      <c r="Q70" s="17">
        <f t="shared" si="8"/>
        <v>308917777</v>
      </c>
      <c r="R70" s="17">
        <f t="shared" si="9"/>
        <v>30666</v>
      </c>
      <c r="S70" s="17">
        <f t="shared" si="10"/>
        <v>75333068</v>
      </c>
      <c r="T70" s="17">
        <f t="shared" si="11"/>
        <v>75035050</v>
      </c>
      <c r="U70" s="17">
        <f t="shared" si="12"/>
        <v>75</v>
      </c>
      <c r="V70" s="17">
        <f t="shared" si="13"/>
        <v>68</v>
      </c>
      <c r="W70" s="17" t="str">
        <f t="shared" si="7"/>
        <v>LL Platz 10 Rang 1</v>
      </c>
    </row>
    <row r="71" spans="1:23" x14ac:dyDescent="0.35">
      <c r="A71" s="17"/>
      <c r="B71" s="17"/>
      <c r="C71" s="16" t="s">
        <v>512</v>
      </c>
      <c r="D71" s="18">
        <v>1</v>
      </c>
      <c r="E71" s="18" t="s">
        <v>151</v>
      </c>
      <c r="F71" s="18">
        <v>18</v>
      </c>
      <c r="G71" s="18">
        <v>14</v>
      </c>
      <c r="H71" s="18">
        <v>1</v>
      </c>
      <c r="I71" s="18">
        <v>3</v>
      </c>
      <c r="J71" s="18">
        <v>609</v>
      </c>
      <c r="K71" s="18" t="s">
        <v>20</v>
      </c>
      <c r="L71" s="19">
        <v>508</v>
      </c>
      <c r="M71" s="18">
        <v>29</v>
      </c>
      <c r="N71" s="18" t="s">
        <v>20</v>
      </c>
      <c r="O71" s="19">
        <v>7</v>
      </c>
      <c r="P71" s="17">
        <v>7</v>
      </c>
      <c r="Q71" s="17">
        <f t="shared" si="8"/>
        <v>309864444</v>
      </c>
      <c r="R71" s="17">
        <f t="shared" si="9"/>
        <v>33833</v>
      </c>
      <c r="S71" s="17">
        <f t="shared" si="10"/>
        <v>82888069</v>
      </c>
      <c r="T71" s="17">
        <f t="shared" si="11"/>
        <v>42004021</v>
      </c>
      <c r="U71" s="17">
        <f t="shared" si="12"/>
        <v>42</v>
      </c>
      <c r="V71" s="17">
        <f t="shared" si="13"/>
        <v>69</v>
      </c>
      <c r="W71" s="17" t="str">
        <f t="shared" si="7"/>
        <v>LL Platz 1 Rang 4</v>
      </c>
    </row>
    <row r="72" spans="1:23" x14ac:dyDescent="0.35">
      <c r="A72" s="17"/>
      <c r="B72" s="17"/>
      <c r="C72" s="16"/>
      <c r="D72" s="18">
        <v>2</v>
      </c>
      <c r="E72" s="18" t="s">
        <v>153</v>
      </c>
      <c r="F72" s="18">
        <v>18</v>
      </c>
      <c r="G72" s="18">
        <v>10</v>
      </c>
      <c r="H72" s="18">
        <v>4</v>
      </c>
      <c r="I72" s="18">
        <v>4</v>
      </c>
      <c r="J72" s="18">
        <v>509</v>
      </c>
      <c r="K72" s="18" t="s">
        <v>20</v>
      </c>
      <c r="L72" s="19">
        <v>489</v>
      </c>
      <c r="M72" s="18">
        <v>24</v>
      </c>
      <c r="N72" s="18" t="s">
        <v>20</v>
      </c>
      <c r="O72" s="19">
        <v>12</v>
      </c>
      <c r="P72" s="17">
        <v>7</v>
      </c>
      <c r="Q72" s="17">
        <f t="shared" si="8"/>
        <v>309753333</v>
      </c>
      <c r="R72" s="17">
        <f t="shared" si="9"/>
        <v>28277</v>
      </c>
      <c r="S72" s="17">
        <f t="shared" si="10"/>
        <v>83944070</v>
      </c>
      <c r="T72" s="17">
        <f t="shared" si="11"/>
        <v>43101012</v>
      </c>
      <c r="U72" s="17">
        <f t="shared" si="12"/>
        <v>44</v>
      </c>
      <c r="V72" s="17">
        <f t="shared" si="13"/>
        <v>70</v>
      </c>
      <c r="W72" s="17" t="str">
        <f t="shared" si="7"/>
        <v>LL Platz 2 Rang 2</v>
      </c>
    </row>
    <row r="73" spans="1:23" x14ac:dyDescent="0.35">
      <c r="A73" s="17"/>
      <c r="B73" s="17"/>
      <c r="C73" s="16"/>
      <c r="D73" s="18">
        <v>3</v>
      </c>
      <c r="E73" s="18" t="s">
        <v>152</v>
      </c>
      <c r="F73" s="18">
        <v>18</v>
      </c>
      <c r="G73" s="18">
        <v>11</v>
      </c>
      <c r="H73" s="18">
        <v>2</v>
      </c>
      <c r="I73" s="18">
        <v>5</v>
      </c>
      <c r="J73" s="18">
        <v>595</v>
      </c>
      <c r="K73" s="18" t="s">
        <v>20</v>
      </c>
      <c r="L73" s="19">
        <v>543</v>
      </c>
      <c r="M73" s="18">
        <v>24</v>
      </c>
      <c r="N73" s="18" t="s">
        <v>20</v>
      </c>
      <c r="O73" s="19">
        <v>12</v>
      </c>
      <c r="P73" s="17">
        <v>7</v>
      </c>
      <c r="Q73" s="17">
        <f t="shared" si="8"/>
        <v>309653333</v>
      </c>
      <c r="R73" s="17">
        <f t="shared" si="9"/>
        <v>33055</v>
      </c>
      <c r="S73" s="17">
        <f t="shared" si="10"/>
        <v>80944071</v>
      </c>
      <c r="T73" s="17">
        <f t="shared" si="11"/>
        <v>47009035</v>
      </c>
      <c r="U73" s="17">
        <f t="shared" si="12"/>
        <v>47</v>
      </c>
      <c r="V73" s="17">
        <f t="shared" si="13"/>
        <v>71</v>
      </c>
      <c r="W73" s="17" t="str">
        <f t="shared" si="7"/>
        <v>LL Platz 3 Rang 1</v>
      </c>
    </row>
    <row r="74" spans="1:23" x14ac:dyDescent="0.35">
      <c r="A74" s="17"/>
      <c r="B74" s="17"/>
      <c r="C74" s="16"/>
      <c r="D74" s="18">
        <v>4</v>
      </c>
      <c r="E74" s="18" t="s">
        <v>155</v>
      </c>
      <c r="F74" s="18">
        <v>18</v>
      </c>
      <c r="G74" s="18">
        <v>11</v>
      </c>
      <c r="H74" s="18">
        <v>1</v>
      </c>
      <c r="I74" s="18">
        <v>6</v>
      </c>
      <c r="J74" s="18">
        <v>606</v>
      </c>
      <c r="K74" s="18" t="s">
        <v>20</v>
      </c>
      <c r="L74" s="19">
        <v>558</v>
      </c>
      <c r="M74" s="18">
        <v>23</v>
      </c>
      <c r="N74" s="18" t="s">
        <v>20</v>
      </c>
      <c r="O74" s="19">
        <v>13</v>
      </c>
      <c r="P74" s="17">
        <v>7</v>
      </c>
      <c r="Q74" s="17">
        <f t="shared" si="8"/>
        <v>309551111</v>
      </c>
      <c r="R74" s="17">
        <f t="shared" si="9"/>
        <v>33666</v>
      </c>
      <c r="S74" s="17">
        <f t="shared" si="10"/>
        <v>80111072</v>
      </c>
      <c r="T74" s="17">
        <f t="shared" si="11"/>
        <v>51007040</v>
      </c>
      <c r="U74" s="17">
        <f t="shared" si="12"/>
        <v>51</v>
      </c>
      <c r="V74" s="17">
        <f t="shared" si="13"/>
        <v>72</v>
      </c>
      <c r="W74" s="17" t="str">
        <f t="shared" si="7"/>
        <v>LL Platz 4 Rang 1</v>
      </c>
    </row>
    <row r="75" spans="1:23" x14ac:dyDescent="0.35">
      <c r="A75" s="17"/>
      <c r="B75" s="17"/>
      <c r="C75" s="16"/>
      <c r="D75" s="18">
        <v>5</v>
      </c>
      <c r="E75" s="18" t="s">
        <v>157</v>
      </c>
      <c r="F75" s="18">
        <v>18</v>
      </c>
      <c r="G75" s="18">
        <v>9</v>
      </c>
      <c r="H75" s="18">
        <v>3</v>
      </c>
      <c r="I75" s="18">
        <v>6</v>
      </c>
      <c r="J75" s="18">
        <v>530</v>
      </c>
      <c r="K75" s="18" t="s">
        <v>20</v>
      </c>
      <c r="L75" s="19">
        <v>509</v>
      </c>
      <c r="M75" s="18">
        <v>21</v>
      </c>
      <c r="N75" s="18" t="s">
        <v>20</v>
      </c>
      <c r="O75" s="19">
        <v>15</v>
      </c>
      <c r="P75" s="17">
        <v>7</v>
      </c>
      <c r="Q75" s="17">
        <f t="shared" si="8"/>
        <v>309446666</v>
      </c>
      <c r="R75" s="17">
        <f t="shared" si="9"/>
        <v>29444</v>
      </c>
      <c r="S75" s="17">
        <f t="shared" si="10"/>
        <v>82833073</v>
      </c>
      <c r="T75" s="17">
        <f t="shared" si="11"/>
        <v>55070022</v>
      </c>
      <c r="U75" s="17">
        <f t="shared" si="12"/>
        <v>55</v>
      </c>
      <c r="V75" s="17">
        <f t="shared" si="13"/>
        <v>73</v>
      </c>
      <c r="W75" s="17" t="str">
        <f t="shared" si="7"/>
        <v>LL Platz 5 Rang 1</v>
      </c>
    </row>
    <row r="76" spans="1:23" x14ac:dyDescent="0.35">
      <c r="A76" s="17"/>
      <c r="B76" s="17"/>
      <c r="C76" s="16"/>
      <c r="D76" s="18">
        <v>6</v>
      </c>
      <c r="E76" s="18" t="s">
        <v>156</v>
      </c>
      <c r="F76" s="18">
        <v>18</v>
      </c>
      <c r="G76" s="18">
        <v>8</v>
      </c>
      <c r="H76" s="18">
        <v>2</v>
      </c>
      <c r="I76" s="18">
        <v>8</v>
      </c>
      <c r="J76" s="18">
        <v>536</v>
      </c>
      <c r="K76" s="18" t="s">
        <v>20</v>
      </c>
      <c r="L76" s="19">
        <v>528</v>
      </c>
      <c r="M76" s="18">
        <v>18</v>
      </c>
      <c r="N76" s="18" t="s">
        <v>20</v>
      </c>
      <c r="O76" s="19">
        <v>18</v>
      </c>
      <c r="P76" s="17">
        <v>7</v>
      </c>
      <c r="Q76" s="17">
        <f t="shared" si="8"/>
        <v>309340000</v>
      </c>
      <c r="R76" s="17">
        <f t="shared" si="9"/>
        <v>29777</v>
      </c>
      <c r="S76" s="17">
        <f t="shared" si="10"/>
        <v>81777074</v>
      </c>
      <c r="T76" s="17">
        <f t="shared" si="11"/>
        <v>59059028</v>
      </c>
      <c r="U76" s="17">
        <f t="shared" si="12"/>
        <v>59</v>
      </c>
      <c r="V76" s="17">
        <f t="shared" si="13"/>
        <v>74</v>
      </c>
      <c r="W76" s="17" t="str">
        <f t="shared" si="7"/>
        <v>LL Platz 6 Rang 1</v>
      </c>
    </row>
    <row r="77" spans="1:23" x14ac:dyDescent="0.35">
      <c r="A77" s="17"/>
      <c r="B77" s="17"/>
      <c r="C77" s="16"/>
      <c r="D77" s="18">
        <v>7</v>
      </c>
      <c r="E77" s="18" t="s">
        <v>154</v>
      </c>
      <c r="F77" s="18">
        <v>18</v>
      </c>
      <c r="G77" s="18">
        <v>6</v>
      </c>
      <c r="H77" s="18">
        <v>3</v>
      </c>
      <c r="I77" s="18">
        <v>9</v>
      </c>
      <c r="J77" s="18">
        <v>520</v>
      </c>
      <c r="K77" s="18" t="s">
        <v>20</v>
      </c>
      <c r="L77" s="19">
        <v>553</v>
      </c>
      <c r="M77" s="18">
        <v>15</v>
      </c>
      <c r="N77" s="18" t="s">
        <v>20</v>
      </c>
      <c r="O77" s="19">
        <v>21</v>
      </c>
      <c r="P77" s="17">
        <v>7</v>
      </c>
      <c r="Q77" s="17">
        <f t="shared" si="8"/>
        <v>309233333</v>
      </c>
      <c r="R77" s="17">
        <f t="shared" si="9"/>
        <v>28888</v>
      </c>
      <c r="S77" s="17">
        <f t="shared" si="10"/>
        <v>80388075</v>
      </c>
      <c r="T77" s="17">
        <f t="shared" si="11"/>
        <v>65089038</v>
      </c>
      <c r="U77" s="17">
        <f t="shared" si="12"/>
        <v>65</v>
      </c>
      <c r="V77" s="17">
        <f t="shared" si="13"/>
        <v>75</v>
      </c>
      <c r="W77" s="17" t="str">
        <f t="shared" si="7"/>
        <v>LL Platz 7 Rang 3</v>
      </c>
    </row>
    <row r="78" spans="1:23" x14ac:dyDescent="0.35">
      <c r="A78" s="17"/>
      <c r="B78" s="17"/>
      <c r="C78" s="16"/>
      <c r="D78" s="18">
        <v>8</v>
      </c>
      <c r="E78" s="18" t="s">
        <v>158</v>
      </c>
      <c r="F78" s="18">
        <v>18</v>
      </c>
      <c r="G78" s="18">
        <v>5</v>
      </c>
      <c r="H78" s="18">
        <v>3</v>
      </c>
      <c r="I78" s="18">
        <v>10</v>
      </c>
      <c r="J78" s="18">
        <v>520</v>
      </c>
      <c r="K78" s="18" t="s">
        <v>20</v>
      </c>
      <c r="L78" s="19">
        <v>548</v>
      </c>
      <c r="M78" s="18">
        <v>13</v>
      </c>
      <c r="N78" s="18" t="s">
        <v>20</v>
      </c>
      <c r="O78" s="19">
        <v>23</v>
      </c>
      <c r="P78" s="17">
        <v>7</v>
      </c>
      <c r="Q78" s="17">
        <f t="shared" si="8"/>
        <v>309128888</v>
      </c>
      <c r="R78" s="17">
        <f t="shared" si="9"/>
        <v>28888</v>
      </c>
      <c r="S78" s="17">
        <f t="shared" si="10"/>
        <v>80666076</v>
      </c>
      <c r="T78" s="17">
        <f t="shared" si="11"/>
        <v>69089036</v>
      </c>
      <c r="U78" s="17">
        <f t="shared" si="12"/>
        <v>69</v>
      </c>
      <c r="V78" s="17">
        <f t="shared" si="13"/>
        <v>76</v>
      </c>
      <c r="W78" s="17" t="str">
        <f t="shared" si="7"/>
        <v>LL Platz 8 Rang 3</v>
      </c>
    </row>
    <row r="79" spans="1:23" x14ac:dyDescent="0.35">
      <c r="A79" s="17"/>
      <c r="B79" s="17"/>
      <c r="C79" s="16"/>
      <c r="D79" s="18">
        <v>9</v>
      </c>
      <c r="E79" s="18" t="s">
        <v>159</v>
      </c>
      <c r="F79" s="18">
        <v>18</v>
      </c>
      <c r="G79" s="18">
        <v>3</v>
      </c>
      <c r="H79" s="18">
        <v>1</v>
      </c>
      <c r="I79" s="18">
        <v>14</v>
      </c>
      <c r="J79" s="18">
        <v>472</v>
      </c>
      <c r="K79" s="18" t="s">
        <v>20</v>
      </c>
      <c r="L79" s="19">
        <v>581</v>
      </c>
      <c r="M79" s="18">
        <v>7</v>
      </c>
      <c r="N79" s="18" t="s">
        <v>20</v>
      </c>
      <c r="O79" s="19">
        <v>29</v>
      </c>
      <c r="P79" s="17">
        <v>7</v>
      </c>
      <c r="Q79" s="17">
        <f t="shared" si="8"/>
        <v>309015555</v>
      </c>
      <c r="R79" s="17">
        <f t="shared" si="9"/>
        <v>26222</v>
      </c>
      <c r="S79" s="17">
        <f t="shared" si="10"/>
        <v>78833077</v>
      </c>
      <c r="T79" s="17">
        <f t="shared" si="11"/>
        <v>74147047</v>
      </c>
      <c r="U79" s="17">
        <f t="shared" si="12"/>
        <v>74</v>
      </c>
      <c r="V79" s="17">
        <f t="shared" si="13"/>
        <v>77</v>
      </c>
      <c r="W79" s="17" t="str">
        <f t="shared" si="7"/>
        <v>LL Platz 9 Rang 4</v>
      </c>
    </row>
    <row r="80" spans="1:23" x14ac:dyDescent="0.35">
      <c r="A80" s="17"/>
      <c r="B80" s="17"/>
      <c r="C80" s="16"/>
      <c r="D80" s="18">
        <v>10</v>
      </c>
      <c r="E80" s="18" t="s">
        <v>160</v>
      </c>
      <c r="F80" s="18">
        <v>18</v>
      </c>
      <c r="G80" s="18">
        <v>3</v>
      </c>
      <c r="H80" s="18">
        <v>0</v>
      </c>
      <c r="I80" s="18">
        <v>15</v>
      </c>
      <c r="J80" s="18">
        <v>483</v>
      </c>
      <c r="K80" s="18" t="s">
        <v>20</v>
      </c>
      <c r="L80" s="19">
        <v>563</v>
      </c>
      <c r="M80" s="18">
        <v>6</v>
      </c>
      <c r="N80" s="18" t="s">
        <v>20</v>
      </c>
      <c r="O80" s="19">
        <v>30</v>
      </c>
      <c r="P80" s="17">
        <v>7</v>
      </c>
      <c r="Q80" s="17">
        <f t="shared" si="8"/>
        <v>308913333</v>
      </c>
      <c r="R80" s="17">
        <f t="shared" si="9"/>
        <v>26833</v>
      </c>
      <c r="S80" s="17">
        <f t="shared" si="10"/>
        <v>79833078</v>
      </c>
      <c r="T80" s="17">
        <f t="shared" si="11"/>
        <v>77137041</v>
      </c>
      <c r="U80" s="17">
        <f t="shared" si="12"/>
        <v>77</v>
      </c>
      <c r="V80" s="17">
        <f t="shared" si="13"/>
        <v>78</v>
      </c>
      <c r="W80" s="17" t="str">
        <f t="shared" si="7"/>
        <v>LL Platz 10 Rang 3</v>
      </c>
    </row>
    <row r="81" spans="1:23" x14ac:dyDescent="0.35">
      <c r="A81" s="17"/>
      <c r="B81" s="17"/>
      <c r="C81" s="16" t="s">
        <v>513</v>
      </c>
      <c r="D81" s="18">
        <v>1</v>
      </c>
      <c r="E81" s="18" t="s">
        <v>205</v>
      </c>
      <c r="F81" s="18">
        <v>18</v>
      </c>
      <c r="G81" s="18">
        <v>16</v>
      </c>
      <c r="H81" s="18">
        <v>1</v>
      </c>
      <c r="I81" s="18">
        <v>1</v>
      </c>
      <c r="J81" s="18">
        <v>609</v>
      </c>
      <c r="K81" s="18" t="s">
        <v>20</v>
      </c>
      <c r="L81" s="19">
        <v>469</v>
      </c>
      <c r="M81" s="18">
        <v>33</v>
      </c>
      <c r="N81" s="18" t="s">
        <v>20</v>
      </c>
      <c r="O81" s="19">
        <v>3</v>
      </c>
      <c r="P81" s="17">
        <v>8</v>
      </c>
      <c r="Q81" s="17">
        <f t="shared" si="8"/>
        <v>209873333</v>
      </c>
      <c r="R81" s="17">
        <f t="shared" si="9"/>
        <v>33833</v>
      </c>
      <c r="S81" s="17">
        <f t="shared" si="10"/>
        <v>85055079</v>
      </c>
      <c r="T81" s="17">
        <f t="shared" si="11"/>
        <v>80004003</v>
      </c>
      <c r="U81" s="17">
        <f t="shared" si="12"/>
        <v>80</v>
      </c>
      <c r="V81" s="17">
        <f t="shared" ref="V81:V144" si="14">+V80+1</f>
        <v>79</v>
      </c>
      <c r="W81" s="17" t="str">
        <f>"BOL Platz "&amp;D81&amp;" Rang "&amp;(U81-70-8*D81)</f>
        <v>BOL Platz 1 Rang 2</v>
      </c>
    </row>
    <row r="82" spans="1:23" x14ac:dyDescent="0.35">
      <c r="A82" s="17"/>
      <c r="B82" s="17"/>
      <c r="C82" s="16"/>
      <c r="D82" s="18">
        <v>2</v>
      </c>
      <c r="E82" s="18" t="s">
        <v>172</v>
      </c>
      <c r="F82" s="18">
        <v>18</v>
      </c>
      <c r="G82" s="18">
        <v>13</v>
      </c>
      <c r="H82" s="18">
        <v>0</v>
      </c>
      <c r="I82" s="18">
        <v>5</v>
      </c>
      <c r="J82" s="18">
        <v>577</v>
      </c>
      <c r="K82" s="18" t="s">
        <v>20</v>
      </c>
      <c r="L82" s="19">
        <v>497</v>
      </c>
      <c r="M82" s="18">
        <v>26</v>
      </c>
      <c r="N82" s="18" t="s">
        <v>20</v>
      </c>
      <c r="O82" s="19">
        <v>10</v>
      </c>
      <c r="P82" s="17">
        <v>8</v>
      </c>
      <c r="Q82" s="17">
        <f t="shared" si="8"/>
        <v>209757777</v>
      </c>
      <c r="R82" s="17">
        <f t="shared" si="9"/>
        <v>32055</v>
      </c>
      <c r="S82" s="17">
        <f t="shared" si="10"/>
        <v>83500080</v>
      </c>
      <c r="T82" s="17">
        <f t="shared" si="11"/>
        <v>91017016</v>
      </c>
      <c r="U82" s="17">
        <f t="shared" si="12"/>
        <v>91</v>
      </c>
      <c r="V82" s="17">
        <f t="shared" si="14"/>
        <v>80</v>
      </c>
      <c r="W82" s="17" t="str">
        <f t="shared" ref="W82:W145" si="15">"BOL Platz "&amp;D82&amp;" Rang "&amp;(U82-70-8*D82)</f>
        <v>BOL Platz 2 Rang 5</v>
      </c>
    </row>
    <row r="83" spans="1:23" x14ac:dyDescent="0.35">
      <c r="A83" s="17"/>
      <c r="B83" s="17"/>
      <c r="C83" s="16"/>
      <c r="D83" s="18">
        <v>3</v>
      </c>
      <c r="E83" s="18" t="s">
        <v>170</v>
      </c>
      <c r="F83" s="18">
        <v>18</v>
      </c>
      <c r="G83" s="18">
        <v>11</v>
      </c>
      <c r="H83" s="18">
        <v>0</v>
      </c>
      <c r="I83" s="18">
        <v>7</v>
      </c>
      <c r="J83" s="18">
        <v>541</v>
      </c>
      <c r="K83" s="18" t="s">
        <v>20</v>
      </c>
      <c r="L83" s="19">
        <v>541</v>
      </c>
      <c r="M83" s="18">
        <v>22</v>
      </c>
      <c r="N83" s="18" t="s">
        <v>20</v>
      </c>
      <c r="O83" s="19">
        <v>14</v>
      </c>
      <c r="P83" s="17">
        <v>8</v>
      </c>
      <c r="Q83" s="17">
        <f t="shared" si="8"/>
        <v>209648888</v>
      </c>
      <c r="R83" s="17">
        <f t="shared" si="9"/>
        <v>30055</v>
      </c>
      <c r="S83" s="17">
        <f t="shared" si="10"/>
        <v>81055081</v>
      </c>
      <c r="T83" s="17">
        <f t="shared" si="11"/>
        <v>101051034</v>
      </c>
      <c r="U83" s="17">
        <f t="shared" si="12"/>
        <v>101</v>
      </c>
      <c r="V83" s="17">
        <f t="shared" si="14"/>
        <v>81</v>
      </c>
      <c r="W83" s="17" t="str">
        <f t="shared" si="15"/>
        <v>BOL Platz 3 Rang 7</v>
      </c>
    </row>
    <row r="84" spans="1:23" x14ac:dyDescent="0.35">
      <c r="A84" s="17"/>
      <c r="B84" s="17"/>
      <c r="C84" s="16"/>
      <c r="D84" s="18">
        <v>4</v>
      </c>
      <c r="E84" s="18" t="s">
        <v>163</v>
      </c>
      <c r="F84" s="18">
        <v>18</v>
      </c>
      <c r="G84" s="18">
        <v>10</v>
      </c>
      <c r="H84" s="18">
        <v>0</v>
      </c>
      <c r="I84" s="18">
        <v>8</v>
      </c>
      <c r="J84" s="18">
        <v>534</v>
      </c>
      <c r="K84" s="18" t="s">
        <v>20</v>
      </c>
      <c r="L84" s="19">
        <v>526</v>
      </c>
      <c r="M84" s="18">
        <v>20</v>
      </c>
      <c r="N84" s="18" t="s">
        <v>20</v>
      </c>
      <c r="O84" s="19">
        <v>16</v>
      </c>
      <c r="P84" s="17">
        <v>8</v>
      </c>
      <c r="Q84" s="17">
        <f t="shared" si="8"/>
        <v>209544444</v>
      </c>
      <c r="R84" s="17">
        <f t="shared" si="9"/>
        <v>29666</v>
      </c>
      <c r="S84" s="17">
        <f t="shared" si="10"/>
        <v>81888082</v>
      </c>
      <c r="T84" s="17">
        <f t="shared" si="11"/>
        <v>108061027</v>
      </c>
      <c r="U84" s="17">
        <f t="shared" si="12"/>
        <v>108</v>
      </c>
      <c r="V84" s="17">
        <f t="shared" si="14"/>
        <v>82</v>
      </c>
      <c r="W84" s="17" t="str">
        <f t="shared" si="15"/>
        <v>BOL Platz 4 Rang 6</v>
      </c>
    </row>
    <row r="85" spans="1:23" x14ac:dyDescent="0.35">
      <c r="A85" s="17"/>
      <c r="B85" s="17"/>
      <c r="C85" s="16"/>
      <c r="D85" s="18">
        <v>5</v>
      </c>
      <c r="E85" s="18" t="s">
        <v>206</v>
      </c>
      <c r="F85" s="18">
        <v>18</v>
      </c>
      <c r="G85" s="18">
        <v>9</v>
      </c>
      <c r="H85" s="18">
        <v>0</v>
      </c>
      <c r="I85" s="18">
        <v>9</v>
      </c>
      <c r="J85" s="18">
        <v>527</v>
      </c>
      <c r="K85" s="18" t="s">
        <v>20</v>
      </c>
      <c r="L85" s="19">
        <v>520</v>
      </c>
      <c r="M85" s="18">
        <v>18</v>
      </c>
      <c r="N85" s="18" t="s">
        <v>20</v>
      </c>
      <c r="O85" s="19">
        <v>18</v>
      </c>
      <c r="P85" s="17">
        <v>8</v>
      </c>
      <c r="Q85" s="17">
        <f t="shared" si="8"/>
        <v>209440000</v>
      </c>
      <c r="R85" s="17">
        <f t="shared" si="9"/>
        <v>29277</v>
      </c>
      <c r="S85" s="17">
        <f t="shared" si="10"/>
        <v>82222083</v>
      </c>
      <c r="T85" s="17">
        <f t="shared" si="11"/>
        <v>117076026</v>
      </c>
      <c r="U85" s="17">
        <f t="shared" si="12"/>
        <v>117</v>
      </c>
      <c r="V85" s="17">
        <f t="shared" si="14"/>
        <v>83</v>
      </c>
      <c r="W85" s="17" t="str">
        <f t="shared" si="15"/>
        <v>BOL Platz 5 Rang 7</v>
      </c>
    </row>
    <row r="86" spans="1:23" x14ac:dyDescent="0.35">
      <c r="A86" s="17"/>
      <c r="B86" s="17"/>
      <c r="C86" s="16"/>
      <c r="D86" s="18">
        <v>6</v>
      </c>
      <c r="E86" s="18" t="s">
        <v>176</v>
      </c>
      <c r="F86" s="18">
        <v>18</v>
      </c>
      <c r="G86" s="18">
        <v>8</v>
      </c>
      <c r="H86" s="18">
        <v>0</v>
      </c>
      <c r="I86" s="18">
        <v>10</v>
      </c>
      <c r="J86" s="18">
        <v>528</v>
      </c>
      <c r="K86" s="18" t="s">
        <v>20</v>
      </c>
      <c r="L86" s="19">
        <v>554</v>
      </c>
      <c r="M86" s="18">
        <v>16</v>
      </c>
      <c r="N86" s="18" t="s">
        <v>20</v>
      </c>
      <c r="O86" s="19">
        <v>20</v>
      </c>
      <c r="P86" s="17">
        <v>8</v>
      </c>
      <c r="Q86" s="17">
        <f t="shared" si="8"/>
        <v>209335555</v>
      </c>
      <c r="R86" s="17">
        <f t="shared" si="9"/>
        <v>29333</v>
      </c>
      <c r="S86" s="17">
        <f t="shared" si="10"/>
        <v>80333084</v>
      </c>
      <c r="T86" s="17">
        <f t="shared" si="11"/>
        <v>124072039</v>
      </c>
      <c r="U86" s="17">
        <f t="shared" si="12"/>
        <v>124</v>
      </c>
      <c r="V86" s="17">
        <f t="shared" si="14"/>
        <v>84</v>
      </c>
      <c r="W86" s="17" t="str">
        <f t="shared" si="15"/>
        <v>BOL Platz 6 Rang 6</v>
      </c>
    </row>
    <row r="87" spans="1:23" x14ac:dyDescent="0.35">
      <c r="A87" s="17"/>
      <c r="B87" s="17"/>
      <c r="C87" s="16"/>
      <c r="D87" s="18">
        <v>7</v>
      </c>
      <c r="E87" s="18" t="s">
        <v>208</v>
      </c>
      <c r="F87" s="18">
        <v>18</v>
      </c>
      <c r="G87" s="18">
        <v>7</v>
      </c>
      <c r="H87" s="18">
        <v>1</v>
      </c>
      <c r="I87" s="18">
        <v>10</v>
      </c>
      <c r="J87" s="18">
        <v>513</v>
      </c>
      <c r="K87" s="18" t="s">
        <v>20</v>
      </c>
      <c r="L87" s="19">
        <v>507</v>
      </c>
      <c r="M87" s="18">
        <v>15</v>
      </c>
      <c r="N87" s="18" t="s">
        <v>20</v>
      </c>
      <c r="O87" s="19">
        <v>21</v>
      </c>
      <c r="P87" s="17">
        <v>8</v>
      </c>
      <c r="Q87" s="17">
        <f t="shared" si="8"/>
        <v>209233333</v>
      </c>
      <c r="R87" s="17">
        <f t="shared" si="9"/>
        <v>28500</v>
      </c>
      <c r="S87" s="17">
        <f t="shared" si="10"/>
        <v>82944085</v>
      </c>
      <c r="T87" s="17">
        <f t="shared" si="11"/>
        <v>132096020</v>
      </c>
      <c r="U87" s="17">
        <f t="shared" si="12"/>
        <v>132</v>
      </c>
      <c r="V87" s="17">
        <f t="shared" si="14"/>
        <v>85</v>
      </c>
      <c r="W87" s="17" t="str">
        <f t="shared" si="15"/>
        <v>BOL Platz 7 Rang 6</v>
      </c>
    </row>
    <row r="88" spans="1:23" x14ac:dyDescent="0.35">
      <c r="A88" s="17"/>
      <c r="B88" s="17"/>
      <c r="C88" s="16"/>
      <c r="D88" s="18">
        <v>8</v>
      </c>
      <c r="E88" s="18" t="s">
        <v>207</v>
      </c>
      <c r="F88" s="18">
        <v>18</v>
      </c>
      <c r="G88" s="18">
        <v>6</v>
      </c>
      <c r="H88" s="18">
        <v>1</v>
      </c>
      <c r="I88" s="18">
        <v>11</v>
      </c>
      <c r="J88" s="18">
        <v>537</v>
      </c>
      <c r="K88" s="18" t="s">
        <v>20</v>
      </c>
      <c r="L88" s="19">
        <v>585</v>
      </c>
      <c r="M88" s="18">
        <v>13</v>
      </c>
      <c r="N88" s="18" t="s">
        <v>20</v>
      </c>
      <c r="O88" s="19">
        <v>23</v>
      </c>
      <c r="P88" s="17">
        <v>8</v>
      </c>
      <c r="Q88" s="17">
        <f t="shared" si="8"/>
        <v>209128888</v>
      </c>
      <c r="R88" s="17">
        <f t="shared" si="9"/>
        <v>29833</v>
      </c>
      <c r="S88" s="17">
        <f t="shared" si="10"/>
        <v>78611086</v>
      </c>
      <c r="T88" s="17">
        <f t="shared" si="11"/>
        <v>141056048</v>
      </c>
      <c r="U88" s="17">
        <f t="shared" si="12"/>
        <v>141</v>
      </c>
      <c r="V88" s="17">
        <f t="shared" si="14"/>
        <v>86</v>
      </c>
      <c r="W88" s="17" t="str">
        <f t="shared" si="15"/>
        <v>BOL Platz 8 Rang 7</v>
      </c>
    </row>
    <row r="89" spans="1:23" x14ac:dyDescent="0.35">
      <c r="A89" s="17"/>
      <c r="B89" s="17"/>
      <c r="C89" s="16"/>
      <c r="D89" s="18">
        <v>9</v>
      </c>
      <c r="E89" s="18" t="s">
        <v>210</v>
      </c>
      <c r="F89" s="18">
        <v>18</v>
      </c>
      <c r="G89" s="18">
        <v>5</v>
      </c>
      <c r="H89" s="18">
        <v>0</v>
      </c>
      <c r="I89" s="18">
        <v>13</v>
      </c>
      <c r="J89" s="18">
        <v>444</v>
      </c>
      <c r="K89" s="18" t="s">
        <v>20</v>
      </c>
      <c r="L89" s="19">
        <v>539</v>
      </c>
      <c r="M89" s="18">
        <v>10</v>
      </c>
      <c r="N89" s="18" t="s">
        <v>20</v>
      </c>
      <c r="O89" s="19">
        <v>26</v>
      </c>
      <c r="P89" s="17">
        <v>8</v>
      </c>
      <c r="Q89" s="17">
        <f t="shared" si="8"/>
        <v>209022222</v>
      </c>
      <c r="R89" s="17">
        <f t="shared" si="9"/>
        <v>24666</v>
      </c>
      <c r="S89" s="17">
        <f t="shared" si="10"/>
        <v>81166087</v>
      </c>
      <c r="T89" s="17">
        <f t="shared" si="11"/>
        <v>149160033</v>
      </c>
      <c r="U89" s="17">
        <f t="shared" si="12"/>
        <v>149</v>
      </c>
      <c r="V89" s="17">
        <f t="shared" si="14"/>
        <v>87</v>
      </c>
      <c r="W89" s="17" t="str">
        <f t="shared" si="15"/>
        <v>BOL Platz 9 Rang 7</v>
      </c>
    </row>
    <row r="90" spans="1:23" x14ac:dyDescent="0.35">
      <c r="A90" s="17"/>
      <c r="B90" s="17"/>
      <c r="C90" s="16"/>
      <c r="D90" s="18">
        <v>10</v>
      </c>
      <c r="E90" s="18" t="s">
        <v>209</v>
      </c>
      <c r="F90" s="18">
        <v>18</v>
      </c>
      <c r="G90" s="18">
        <v>3</v>
      </c>
      <c r="H90" s="18">
        <v>1</v>
      </c>
      <c r="I90" s="18">
        <v>14</v>
      </c>
      <c r="J90" s="18">
        <v>497</v>
      </c>
      <c r="K90" s="18" t="s">
        <v>20</v>
      </c>
      <c r="L90" s="19">
        <v>569</v>
      </c>
      <c r="M90" s="18">
        <v>7</v>
      </c>
      <c r="N90" s="18" t="s">
        <v>20</v>
      </c>
      <c r="O90" s="19">
        <v>29</v>
      </c>
      <c r="P90" s="17">
        <v>8</v>
      </c>
      <c r="Q90" s="17">
        <f t="shared" si="8"/>
        <v>208915555</v>
      </c>
      <c r="R90" s="17">
        <f t="shared" si="9"/>
        <v>27611</v>
      </c>
      <c r="S90" s="17">
        <f t="shared" si="10"/>
        <v>79500088</v>
      </c>
      <c r="T90" s="17">
        <f t="shared" si="11"/>
        <v>157119044</v>
      </c>
      <c r="U90" s="17">
        <f t="shared" si="12"/>
        <v>157</v>
      </c>
      <c r="V90" s="17">
        <f t="shared" si="14"/>
        <v>88</v>
      </c>
      <c r="W90" s="17" t="str">
        <f t="shared" si="15"/>
        <v>BOL Platz 10 Rang 7</v>
      </c>
    </row>
    <row r="91" spans="1:23" x14ac:dyDescent="0.35">
      <c r="A91" s="17"/>
      <c r="B91" s="17"/>
      <c r="C91" s="16" t="s">
        <v>514</v>
      </c>
      <c r="D91" s="18">
        <v>1</v>
      </c>
      <c r="E91" s="18" t="s">
        <v>211</v>
      </c>
      <c r="F91" s="18">
        <v>20</v>
      </c>
      <c r="G91" s="18">
        <v>15</v>
      </c>
      <c r="H91" s="18">
        <v>1</v>
      </c>
      <c r="I91" s="18">
        <v>4</v>
      </c>
      <c r="J91" s="18">
        <v>599</v>
      </c>
      <c r="K91" s="18" t="s">
        <v>20</v>
      </c>
      <c r="L91" s="19">
        <v>503</v>
      </c>
      <c r="M91" s="18">
        <v>31</v>
      </c>
      <c r="N91" s="18" t="s">
        <v>20</v>
      </c>
      <c r="O91" s="19">
        <v>9</v>
      </c>
      <c r="P91" s="17">
        <v>8</v>
      </c>
      <c r="Q91" s="17">
        <f t="shared" si="8"/>
        <v>209862000</v>
      </c>
      <c r="R91" s="17">
        <f t="shared" si="9"/>
        <v>29950</v>
      </c>
      <c r="S91" s="17">
        <f t="shared" si="10"/>
        <v>74850089</v>
      </c>
      <c r="T91" s="17">
        <f t="shared" si="11"/>
        <v>84054052</v>
      </c>
      <c r="U91" s="17">
        <f t="shared" si="12"/>
        <v>84</v>
      </c>
      <c r="V91" s="17">
        <f t="shared" si="14"/>
        <v>89</v>
      </c>
      <c r="W91" s="17" t="str">
        <f t="shared" si="15"/>
        <v>BOL Platz 1 Rang 6</v>
      </c>
    </row>
    <row r="92" spans="1:23" x14ac:dyDescent="0.35">
      <c r="A92" s="17"/>
      <c r="B92" s="17"/>
      <c r="C92" s="16"/>
      <c r="D92" s="18">
        <v>2</v>
      </c>
      <c r="E92" s="18" t="s">
        <v>212</v>
      </c>
      <c r="F92" s="18">
        <v>20</v>
      </c>
      <c r="G92" s="18">
        <v>14</v>
      </c>
      <c r="H92" s="18">
        <v>0</v>
      </c>
      <c r="I92" s="18">
        <v>6</v>
      </c>
      <c r="J92" s="18">
        <v>631</v>
      </c>
      <c r="K92" s="18" t="s">
        <v>20</v>
      </c>
      <c r="L92" s="19">
        <v>560</v>
      </c>
      <c r="M92" s="18">
        <v>28</v>
      </c>
      <c r="N92" s="18" t="s">
        <v>20</v>
      </c>
      <c r="O92" s="19">
        <v>12</v>
      </c>
      <c r="P92" s="17">
        <v>8</v>
      </c>
      <c r="Q92" s="17">
        <f t="shared" si="8"/>
        <v>209756000</v>
      </c>
      <c r="R92" s="17">
        <f t="shared" si="9"/>
        <v>31550</v>
      </c>
      <c r="S92" s="17">
        <f t="shared" si="10"/>
        <v>72000090</v>
      </c>
      <c r="T92" s="17">
        <f t="shared" si="11"/>
        <v>92022063</v>
      </c>
      <c r="U92" s="17">
        <f t="shared" si="12"/>
        <v>92</v>
      </c>
      <c r="V92" s="17">
        <f t="shared" si="14"/>
        <v>90</v>
      </c>
      <c r="W92" s="17" t="str">
        <f t="shared" si="15"/>
        <v>BOL Platz 2 Rang 6</v>
      </c>
    </row>
    <row r="93" spans="1:23" x14ac:dyDescent="0.35">
      <c r="A93" s="17"/>
      <c r="B93" s="17"/>
      <c r="C93" s="16"/>
      <c r="D93" s="115">
        <v>99</v>
      </c>
      <c r="E93" s="18" t="s">
        <v>213</v>
      </c>
      <c r="F93" s="18">
        <v>20</v>
      </c>
      <c r="G93" s="18">
        <v>12</v>
      </c>
      <c r="H93" s="18">
        <v>0</v>
      </c>
      <c r="I93" s="18">
        <v>8</v>
      </c>
      <c r="J93" s="18">
        <v>557</v>
      </c>
      <c r="K93" s="18" t="s">
        <v>20</v>
      </c>
      <c r="L93" s="19">
        <v>525</v>
      </c>
      <c r="M93" s="18">
        <v>24</v>
      </c>
      <c r="N93" s="18" t="s">
        <v>20</v>
      </c>
      <c r="O93" s="19">
        <v>16</v>
      </c>
      <c r="P93" s="17">
        <v>8</v>
      </c>
      <c r="Q93" s="17">
        <f t="shared" si="8"/>
        <v>200048000</v>
      </c>
      <c r="R93" s="17">
        <f t="shared" si="9"/>
        <v>27850</v>
      </c>
      <c r="S93" s="17">
        <f t="shared" si="10"/>
        <v>73750091</v>
      </c>
      <c r="T93" s="17">
        <f t="shared" si="11"/>
        <v>169111054</v>
      </c>
      <c r="U93" s="17">
        <f t="shared" si="12"/>
        <v>169</v>
      </c>
      <c r="V93" s="17">
        <f t="shared" si="14"/>
        <v>91</v>
      </c>
      <c r="W93" s="17" t="str">
        <f t="shared" si="15"/>
        <v>BOL Platz 99 Rang -693</v>
      </c>
    </row>
    <row r="94" spans="1:23" x14ac:dyDescent="0.35">
      <c r="A94" s="17"/>
      <c r="B94" s="17"/>
      <c r="C94" s="16"/>
      <c r="D94" s="18">
        <v>4</v>
      </c>
      <c r="E94" s="18" t="s">
        <v>171</v>
      </c>
      <c r="F94" s="18">
        <v>20</v>
      </c>
      <c r="G94" s="18">
        <v>11</v>
      </c>
      <c r="H94" s="18">
        <v>0</v>
      </c>
      <c r="I94" s="18">
        <v>9</v>
      </c>
      <c r="J94" s="18">
        <v>614</v>
      </c>
      <c r="K94" s="18" t="s">
        <v>20</v>
      </c>
      <c r="L94" s="19">
        <v>609</v>
      </c>
      <c r="M94" s="18">
        <v>22</v>
      </c>
      <c r="N94" s="18" t="s">
        <v>20</v>
      </c>
      <c r="O94" s="19">
        <v>18</v>
      </c>
      <c r="P94" s="17">
        <v>8</v>
      </c>
      <c r="Q94" s="17">
        <f t="shared" si="8"/>
        <v>209544000</v>
      </c>
      <c r="R94" s="17">
        <f t="shared" si="9"/>
        <v>30700</v>
      </c>
      <c r="S94" s="17">
        <f t="shared" si="10"/>
        <v>69550092</v>
      </c>
      <c r="T94" s="17">
        <f t="shared" si="11"/>
        <v>109034079</v>
      </c>
      <c r="U94" s="17">
        <f t="shared" si="12"/>
        <v>109</v>
      </c>
      <c r="V94" s="17">
        <f t="shared" si="14"/>
        <v>92</v>
      </c>
      <c r="W94" s="17" t="str">
        <f t="shared" si="15"/>
        <v>BOL Platz 4 Rang 7</v>
      </c>
    </row>
    <row r="95" spans="1:23" x14ac:dyDescent="0.35">
      <c r="A95" s="17"/>
      <c r="B95" s="17"/>
      <c r="C95" s="16"/>
      <c r="D95" s="18">
        <v>5</v>
      </c>
      <c r="E95" s="18" t="s">
        <v>173</v>
      </c>
      <c r="F95" s="18">
        <v>20</v>
      </c>
      <c r="G95" s="18">
        <v>10</v>
      </c>
      <c r="H95" s="18">
        <v>1</v>
      </c>
      <c r="I95" s="18">
        <v>9</v>
      </c>
      <c r="J95" s="18">
        <v>582</v>
      </c>
      <c r="K95" s="18" t="s">
        <v>20</v>
      </c>
      <c r="L95" s="19">
        <v>576</v>
      </c>
      <c r="M95" s="18">
        <v>21</v>
      </c>
      <c r="N95" s="18" t="s">
        <v>20</v>
      </c>
      <c r="O95" s="19">
        <v>19</v>
      </c>
      <c r="P95" s="17">
        <v>8</v>
      </c>
      <c r="Q95" s="17">
        <f t="shared" si="8"/>
        <v>209442000</v>
      </c>
      <c r="R95" s="17">
        <f t="shared" si="9"/>
        <v>29100</v>
      </c>
      <c r="S95" s="17">
        <f t="shared" si="10"/>
        <v>71200093</v>
      </c>
      <c r="T95" s="17">
        <f t="shared" si="11"/>
        <v>115081069</v>
      </c>
      <c r="U95" s="17">
        <f t="shared" si="12"/>
        <v>115</v>
      </c>
      <c r="V95" s="17">
        <f t="shared" si="14"/>
        <v>93</v>
      </c>
      <c r="W95" s="17" t="str">
        <f t="shared" si="15"/>
        <v>BOL Platz 5 Rang 5</v>
      </c>
    </row>
    <row r="96" spans="1:23" x14ac:dyDescent="0.35">
      <c r="A96" s="17"/>
      <c r="B96" s="17"/>
      <c r="C96" s="16"/>
      <c r="D96" s="18">
        <v>6</v>
      </c>
      <c r="E96" s="18" t="s">
        <v>214</v>
      </c>
      <c r="F96" s="18">
        <v>20</v>
      </c>
      <c r="G96" s="18">
        <v>10</v>
      </c>
      <c r="H96" s="18">
        <v>0</v>
      </c>
      <c r="I96" s="18">
        <v>10</v>
      </c>
      <c r="J96" s="18">
        <v>541</v>
      </c>
      <c r="K96" s="18" t="s">
        <v>20</v>
      </c>
      <c r="L96" s="19">
        <v>573</v>
      </c>
      <c r="M96" s="18">
        <v>20</v>
      </c>
      <c r="N96" s="18" t="s">
        <v>20</v>
      </c>
      <c r="O96" s="19">
        <v>20</v>
      </c>
      <c r="P96" s="17">
        <v>8</v>
      </c>
      <c r="Q96" s="17">
        <f t="shared" si="8"/>
        <v>209340000</v>
      </c>
      <c r="R96" s="17">
        <f t="shared" si="9"/>
        <v>27050</v>
      </c>
      <c r="S96" s="17">
        <f t="shared" si="10"/>
        <v>71350094</v>
      </c>
      <c r="T96" s="17">
        <f t="shared" si="11"/>
        <v>119130067</v>
      </c>
      <c r="U96" s="17">
        <f t="shared" si="12"/>
        <v>122</v>
      </c>
      <c r="V96" s="17">
        <f t="shared" si="14"/>
        <v>94</v>
      </c>
      <c r="W96" s="17" t="str">
        <f t="shared" si="15"/>
        <v>BOL Platz 6 Rang 4</v>
      </c>
    </row>
    <row r="97" spans="1:23" x14ac:dyDescent="0.35">
      <c r="A97" s="17"/>
      <c r="B97" s="17"/>
      <c r="C97" s="16"/>
      <c r="D97" s="18">
        <v>7</v>
      </c>
      <c r="E97" s="18" t="s">
        <v>217</v>
      </c>
      <c r="F97" s="18">
        <v>20</v>
      </c>
      <c r="G97" s="18">
        <v>9</v>
      </c>
      <c r="H97" s="18">
        <v>1</v>
      </c>
      <c r="I97" s="18">
        <v>10</v>
      </c>
      <c r="J97" s="18">
        <v>523</v>
      </c>
      <c r="K97" s="18" t="s">
        <v>20</v>
      </c>
      <c r="L97" s="19">
        <v>548</v>
      </c>
      <c r="M97" s="18">
        <v>19</v>
      </c>
      <c r="N97" s="18" t="s">
        <v>20</v>
      </c>
      <c r="O97" s="19">
        <v>21</v>
      </c>
      <c r="P97" s="17">
        <v>8</v>
      </c>
      <c r="Q97" s="17">
        <f t="shared" si="8"/>
        <v>209238000</v>
      </c>
      <c r="R97" s="17">
        <f t="shared" si="9"/>
        <v>26150</v>
      </c>
      <c r="S97" s="17">
        <f t="shared" si="10"/>
        <v>72600095</v>
      </c>
      <c r="T97" s="17">
        <f t="shared" si="11"/>
        <v>127149060</v>
      </c>
      <c r="U97" s="17">
        <f t="shared" si="12"/>
        <v>127</v>
      </c>
      <c r="V97" s="17">
        <f t="shared" si="14"/>
        <v>95</v>
      </c>
      <c r="W97" s="17" t="str">
        <f t="shared" si="15"/>
        <v>BOL Platz 7 Rang 1</v>
      </c>
    </row>
    <row r="98" spans="1:23" x14ac:dyDescent="0.35">
      <c r="A98" s="17"/>
      <c r="B98" s="17"/>
      <c r="C98" s="16"/>
      <c r="D98" s="18">
        <v>8</v>
      </c>
      <c r="E98" s="18" t="s">
        <v>216</v>
      </c>
      <c r="F98" s="18">
        <v>20</v>
      </c>
      <c r="G98" s="18">
        <v>8</v>
      </c>
      <c r="H98" s="18">
        <v>0</v>
      </c>
      <c r="I98" s="18">
        <v>12</v>
      </c>
      <c r="J98" s="18">
        <v>528</v>
      </c>
      <c r="K98" s="18" t="s">
        <v>20</v>
      </c>
      <c r="L98" s="19">
        <v>551</v>
      </c>
      <c r="M98" s="18">
        <v>16</v>
      </c>
      <c r="N98" s="18" t="s">
        <v>20</v>
      </c>
      <c r="O98" s="19">
        <v>24</v>
      </c>
      <c r="P98" s="17">
        <v>8</v>
      </c>
      <c r="Q98" s="17">
        <f t="shared" si="8"/>
        <v>209132000</v>
      </c>
      <c r="R98" s="17">
        <f t="shared" si="9"/>
        <v>26400</v>
      </c>
      <c r="S98" s="17">
        <f t="shared" si="10"/>
        <v>72450096</v>
      </c>
      <c r="T98" s="17">
        <f t="shared" si="11"/>
        <v>137143062</v>
      </c>
      <c r="U98" s="17">
        <f t="shared" si="12"/>
        <v>138</v>
      </c>
      <c r="V98" s="17">
        <f t="shared" si="14"/>
        <v>96</v>
      </c>
      <c r="W98" s="17" t="str">
        <f t="shared" si="15"/>
        <v>BOL Platz 8 Rang 4</v>
      </c>
    </row>
    <row r="99" spans="1:23" x14ac:dyDescent="0.35">
      <c r="A99" s="17"/>
      <c r="B99" s="17"/>
      <c r="C99" s="16"/>
      <c r="D99" s="18">
        <v>9</v>
      </c>
      <c r="E99" s="18" t="s">
        <v>166</v>
      </c>
      <c r="F99" s="18">
        <v>20</v>
      </c>
      <c r="G99" s="18">
        <v>7</v>
      </c>
      <c r="H99" s="18">
        <v>1</v>
      </c>
      <c r="I99" s="18">
        <v>12</v>
      </c>
      <c r="J99" s="18">
        <v>565</v>
      </c>
      <c r="K99" s="18" t="s">
        <v>20</v>
      </c>
      <c r="L99" s="19">
        <v>578</v>
      </c>
      <c r="M99" s="18">
        <v>15</v>
      </c>
      <c r="N99" s="18" t="s">
        <v>20</v>
      </c>
      <c r="O99" s="19">
        <v>25</v>
      </c>
      <c r="P99" s="17">
        <v>8</v>
      </c>
      <c r="Q99" s="17">
        <f t="shared" si="8"/>
        <v>209030000</v>
      </c>
      <c r="R99" s="17">
        <f t="shared" si="9"/>
        <v>28250</v>
      </c>
      <c r="S99" s="17">
        <f t="shared" si="10"/>
        <v>71100097</v>
      </c>
      <c r="T99" s="17">
        <f t="shared" si="11"/>
        <v>145104070</v>
      </c>
      <c r="U99" s="17">
        <f t="shared" si="12"/>
        <v>146</v>
      </c>
      <c r="V99" s="17">
        <f t="shared" si="14"/>
        <v>97</v>
      </c>
      <c r="W99" s="17" t="str">
        <f t="shared" si="15"/>
        <v>BOL Platz 9 Rang 4</v>
      </c>
    </row>
    <row r="100" spans="1:23" x14ac:dyDescent="0.35">
      <c r="A100" s="17"/>
      <c r="B100" s="17"/>
      <c r="C100" s="16"/>
      <c r="D100" s="18">
        <v>10</v>
      </c>
      <c r="E100" s="18" t="s">
        <v>215</v>
      </c>
      <c r="F100" s="18">
        <v>20</v>
      </c>
      <c r="G100" s="18">
        <v>7</v>
      </c>
      <c r="H100" s="18">
        <v>1</v>
      </c>
      <c r="I100" s="18">
        <v>12</v>
      </c>
      <c r="J100" s="18">
        <v>556</v>
      </c>
      <c r="K100" s="18" t="s">
        <v>20</v>
      </c>
      <c r="L100" s="19">
        <v>590</v>
      </c>
      <c r="M100" s="18">
        <v>15</v>
      </c>
      <c r="N100" s="18" t="s">
        <v>20</v>
      </c>
      <c r="O100" s="19">
        <v>25</v>
      </c>
      <c r="P100" s="17">
        <v>8</v>
      </c>
      <c r="Q100" s="17">
        <f t="shared" si="8"/>
        <v>208930000</v>
      </c>
      <c r="R100" s="17">
        <f t="shared" si="9"/>
        <v>27800</v>
      </c>
      <c r="S100" s="17">
        <f t="shared" si="10"/>
        <v>70500098</v>
      </c>
      <c r="T100" s="17">
        <f t="shared" si="11"/>
        <v>151116075</v>
      </c>
      <c r="U100" s="17">
        <f t="shared" si="12"/>
        <v>151</v>
      </c>
      <c r="V100" s="17">
        <f t="shared" si="14"/>
        <v>98</v>
      </c>
      <c r="W100" s="17" t="str">
        <f t="shared" si="15"/>
        <v>BOL Platz 10 Rang 1</v>
      </c>
    </row>
    <row r="101" spans="1:23" x14ac:dyDescent="0.35">
      <c r="A101" s="17"/>
      <c r="B101" s="17"/>
      <c r="C101" s="16"/>
      <c r="D101" s="18">
        <v>11</v>
      </c>
      <c r="E101" s="18" t="s">
        <v>218</v>
      </c>
      <c r="F101" s="18">
        <v>20</v>
      </c>
      <c r="G101" s="18">
        <v>4</v>
      </c>
      <c r="H101" s="18">
        <v>1</v>
      </c>
      <c r="I101" s="18">
        <v>15</v>
      </c>
      <c r="J101" s="18">
        <v>482</v>
      </c>
      <c r="K101" s="18" t="s">
        <v>20</v>
      </c>
      <c r="L101" s="19">
        <v>565</v>
      </c>
      <c r="M101" s="18">
        <v>9</v>
      </c>
      <c r="N101" s="18" t="s">
        <v>20</v>
      </c>
      <c r="O101" s="19">
        <v>31</v>
      </c>
      <c r="P101" s="17">
        <v>8</v>
      </c>
      <c r="Q101" s="17">
        <f t="shared" si="8"/>
        <v>208818000</v>
      </c>
      <c r="R101" s="17">
        <f t="shared" si="9"/>
        <v>24100</v>
      </c>
      <c r="S101" s="17">
        <f t="shared" si="10"/>
        <v>71750099</v>
      </c>
      <c r="T101" s="17">
        <f t="shared" si="11"/>
        <v>162163064</v>
      </c>
      <c r="U101" s="17">
        <f t="shared" si="12"/>
        <v>162</v>
      </c>
      <c r="V101" s="17">
        <f t="shared" si="14"/>
        <v>99</v>
      </c>
      <c r="W101" s="17" t="str">
        <f t="shared" si="15"/>
        <v>BOL Platz 11 Rang 4</v>
      </c>
    </row>
    <row r="102" spans="1:23" x14ac:dyDescent="0.35">
      <c r="A102" s="17"/>
      <c r="B102" s="17"/>
      <c r="C102" s="16" t="s">
        <v>515</v>
      </c>
      <c r="D102" s="18">
        <v>1</v>
      </c>
      <c r="E102" s="18" t="s">
        <v>263</v>
      </c>
      <c r="F102" s="18">
        <v>20</v>
      </c>
      <c r="G102" s="18">
        <v>15</v>
      </c>
      <c r="H102" s="18">
        <v>0</v>
      </c>
      <c r="I102" s="18">
        <v>5</v>
      </c>
      <c r="J102" s="18">
        <v>610</v>
      </c>
      <c r="K102" s="18" t="s">
        <v>20</v>
      </c>
      <c r="L102" s="19">
        <v>567</v>
      </c>
      <c r="M102" s="18">
        <v>30</v>
      </c>
      <c r="N102" s="18" t="s">
        <v>20</v>
      </c>
      <c r="O102" s="19">
        <v>10</v>
      </c>
      <c r="P102" s="17">
        <v>8</v>
      </c>
      <c r="Q102" s="17">
        <f t="shared" si="8"/>
        <v>209860000</v>
      </c>
      <c r="R102" s="17">
        <f t="shared" si="9"/>
        <v>30500</v>
      </c>
      <c r="S102" s="17">
        <f t="shared" si="10"/>
        <v>71650100</v>
      </c>
      <c r="T102" s="17">
        <f t="shared" si="11"/>
        <v>85041065</v>
      </c>
      <c r="U102" s="17">
        <f t="shared" si="12"/>
        <v>86</v>
      </c>
      <c r="V102" s="17">
        <f t="shared" si="14"/>
        <v>100</v>
      </c>
      <c r="W102" s="17" t="str">
        <f t="shared" si="15"/>
        <v>BOL Platz 1 Rang 8</v>
      </c>
    </row>
    <row r="103" spans="1:23" x14ac:dyDescent="0.35">
      <c r="A103" s="17"/>
      <c r="B103" s="17"/>
      <c r="C103" s="16"/>
      <c r="D103" s="18">
        <v>2</v>
      </c>
      <c r="E103" s="18" t="s">
        <v>266</v>
      </c>
      <c r="F103" s="18">
        <v>20</v>
      </c>
      <c r="G103" s="18">
        <v>14</v>
      </c>
      <c r="H103" s="18">
        <v>0</v>
      </c>
      <c r="I103" s="18">
        <v>6</v>
      </c>
      <c r="J103" s="18">
        <v>599</v>
      </c>
      <c r="K103" s="18" t="s">
        <v>20</v>
      </c>
      <c r="L103" s="19">
        <v>547</v>
      </c>
      <c r="M103" s="18">
        <v>28</v>
      </c>
      <c r="N103" s="18" t="s">
        <v>20</v>
      </c>
      <c r="O103" s="19">
        <v>12</v>
      </c>
      <c r="P103" s="17">
        <v>8</v>
      </c>
      <c r="Q103" s="17">
        <f t="shared" si="8"/>
        <v>209756000</v>
      </c>
      <c r="R103" s="17">
        <f t="shared" si="9"/>
        <v>29950</v>
      </c>
      <c r="S103" s="17">
        <f t="shared" si="10"/>
        <v>72650101</v>
      </c>
      <c r="T103" s="17">
        <f t="shared" si="11"/>
        <v>92054059</v>
      </c>
      <c r="U103" s="17">
        <f t="shared" si="12"/>
        <v>94</v>
      </c>
      <c r="V103" s="17">
        <f t="shared" si="14"/>
        <v>101</v>
      </c>
      <c r="W103" s="17" t="str">
        <f t="shared" si="15"/>
        <v>BOL Platz 2 Rang 8</v>
      </c>
    </row>
    <row r="104" spans="1:23" x14ac:dyDescent="0.35">
      <c r="A104" s="17"/>
      <c r="B104" s="17"/>
      <c r="C104" s="16"/>
      <c r="D104" s="18">
        <v>3</v>
      </c>
      <c r="E104" s="18" t="s">
        <v>262</v>
      </c>
      <c r="F104" s="18">
        <v>20</v>
      </c>
      <c r="G104" s="18">
        <v>13</v>
      </c>
      <c r="H104" s="18">
        <v>0</v>
      </c>
      <c r="I104" s="18">
        <v>7</v>
      </c>
      <c r="J104" s="18">
        <v>560</v>
      </c>
      <c r="K104" s="18" t="s">
        <v>20</v>
      </c>
      <c r="L104" s="19">
        <v>520</v>
      </c>
      <c r="M104" s="18">
        <v>26</v>
      </c>
      <c r="N104" s="18" t="s">
        <v>20</v>
      </c>
      <c r="O104" s="19">
        <v>14</v>
      </c>
      <c r="P104" s="17">
        <v>8</v>
      </c>
      <c r="Q104" s="17">
        <f t="shared" si="8"/>
        <v>209652000</v>
      </c>
      <c r="R104" s="17">
        <f t="shared" si="9"/>
        <v>28000</v>
      </c>
      <c r="S104" s="17">
        <f t="shared" si="10"/>
        <v>74000102</v>
      </c>
      <c r="T104" s="17">
        <f t="shared" si="11"/>
        <v>99110053</v>
      </c>
      <c r="U104" s="17">
        <f t="shared" si="12"/>
        <v>99</v>
      </c>
      <c r="V104" s="17">
        <f t="shared" si="14"/>
        <v>102</v>
      </c>
      <c r="W104" s="17" t="str">
        <f t="shared" si="15"/>
        <v>BOL Platz 3 Rang 5</v>
      </c>
    </row>
    <row r="105" spans="1:23" x14ac:dyDescent="0.35">
      <c r="A105" s="17"/>
      <c r="B105" s="17"/>
      <c r="C105" s="16"/>
      <c r="D105" s="18">
        <v>4</v>
      </c>
      <c r="E105" s="18" t="s">
        <v>177</v>
      </c>
      <c r="F105" s="18">
        <v>20</v>
      </c>
      <c r="G105" s="18">
        <v>12</v>
      </c>
      <c r="H105" s="18">
        <v>1</v>
      </c>
      <c r="I105" s="18">
        <v>7</v>
      </c>
      <c r="J105" s="18">
        <v>604</v>
      </c>
      <c r="K105" s="18" t="s">
        <v>20</v>
      </c>
      <c r="L105" s="19">
        <v>547</v>
      </c>
      <c r="M105" s="18">
        <v>25</v>
      </c>
      <c r="N105" s="18" t="s">
        <v>20</v>
      </c>
      <c r="O105" s="19">
        <v>15</v>
      </c>
      <c r="P105" s="17">
        <v>8</v>
      </c>
      <c r="Q105" s="17">
        <f t="shared" si="8"/>
        <v>209550000</v>
      </c>
      <c r="R105" s="17">
        <f t="shared" si="9"/>
        <v>30200</v>
      </c>
      <c r="S105" s="17">
        <f t="shared" si="10"/>
        <v>72650103</v>
      </c>
      <c r="T105" s="17">
        <f t="shared" si="11"/>
        <v>103048058</v>
      </c>
      <c r="U105" s="17">
        <f t="shared" si="12"/>
        <v>103</v>
      </c>
      <c r="V105" s="17">
        <f t="shared" si="14"/>
        <v>103</v>
      </c>
      <c r="W105" s="17" t="str">
        <f t="shared" si="15"/>
        <v>BOL Platz 4 Rang 1</v>
      </c>
    </row>
    <row r="106" spans="1:23" x14ac:dyDescent="0.35">
      <c r="A106" s="17"/>
      <c r="B106" s="17"/>
      <c r="C106" s="16"/>
      <c r="D106" s="18">
        <v>5</v>
      </c>
      <c r="E106" s="18" t="s">
        <v>264</v>
      </c>
      <c r="F106" s="18">
        <v>20</v>
      </c>
      <c r="G106" s="18">
        <v>11</v>
      </c>
      <c r="H106" s="18">
        <v>0</v>
      </c>
      <c r="I106" s="18">
        <v>9</v>
      </c>
      <c r="J106" s="18">
        <v>619</v>
      </c>
      <c r="K106" s="18" t="s">
        <v>20</v>
      </c>
      <c r="L106" s="19">
        <v>576</v>
      </c>
      <c r="M106" s="18">
        <v>22</v>
      </c>
      <c r="N106" s="18" t="s">
        <v>20</v>
      </c>
      <c r="O106" s="19">
        <v>18</v>
      </c>
      <c r="P106" s="17">
        <v>8</v>
      </c>
      <c r="Q106" s="17">
        <f t="shared" si="8"/>
        <v>209444000</v>
      </c>
      <c r="R106" s="17">
        <f t="shared" si="9"/>
        <v>30950</v>
      </c>
      <c r="S106" s="17">
        <f t="shared" si="10"/>
        <v>71200104</v>
      </c>
      <c r="T106" s="17">
        <f t="shared" si="11"/>
        <v>112028068</v>
      </c>
      <c r="U106" s="17">
        <f t="shared" si="12"/>
        <v>112</v>
      </c>
      <c r="V106" s="17">
        <f t="shared" si="14"/>
        <v>104</v>
      </c>
      <c r="W106" s="17" t="str">
        <f t="shared" si="15"/>
        <v>BOL Platz 5 Rang 2</v>
      </c>
    </row>
    <row r="107" spans="1:23" x14ac:dyDescent="0.35">
      <c r="A107" s="17"/>
      <c r="B107" s="17"/>
      <c r="C107" s="16"/>
      <c r="D107" s="18">
        <v>6</v>
      </c>
      <c r="E107" s="18" t="s">
        <v>265</v>
      </c>
      <c r="F107" s="18">
        <v>20</v>
      </c>
      <c r="G107" s="18">
        <v>10</v>
      </c>
      <c r="H107" s="18">
        <v>1</v>
      </c>
      <c r="I107" s="18">
        <v>9</v>
      </c>
      <c r="J107" s="18">
        <v>675</v>
      </c>
      <c r="K107" s="18" t="s">
        <v>20</v>
      </c>
      <c r="L107" s="19">
        <v>667</v>
      </c>
      <c r="M107" s="18">
        <v>21</v>
      </c>
      <c r="N107" s="18" t="s">
        <v>20</v>
      </c>
      <c r="O107" s="19">
        <v>19</v>
      </c>
      <c r="P107" s="17">
        <v>8</v>
      </c>
      <c r="Q107" s="17">
        <f t="shared" si="8"/>
        <v>209342000</v>
      </c>
      <c r="R107" s="17">
        <f t="shared" si="9"/>
        <v>33750</v>
      </c>
      <c r="S107" s="17">
        <f t="shared" si="10"/>
        <v>66650105</v>
      </c>
      <c r="T107" s="17">
        <f t="shared" si="11"/>
        <v>118006090</v>
      </c>
      <c r="U107" s="17">
        <f t="shared" si="12"/>
        <v>118</v>
      </c>
      <c r="V107" s="17">
        <f t="shared" si="14"/>
        <v>105</v>
      </c>
      <c r="W107" s="17" t="str">
        <f t="shared" si="15"/>
        <v>BOL Platz 6 Rang 0</v>
      </c>
    </row>
    <row r="108" spans="1:23" x14ac:dyDescent="0.35">
      <c r="A108" s="17"/>
      <c r="B108" s="17"/>
      <c r="C108" s="16"/>
      <c r="D108" s="18">
        <v>7</v>
      </c>
      <c r="E108" s="18" t="s">
        <v>268</v>
      </c>
      <c r="F108" s="18">
        <v>20</v>
      </c>
      <c r="G108" s="18">
        <v>8</v>
      </c>
      <c r="H108" s="18">
        <v>1</v>
      </c>
      <c r="I108" s="18">
        <v>11</v>
      </c>
      <c r="J108" s="18">
        <v>557</v>
      </c>
      <c r="K108" s="18" t="s">
        <v>20</v>
      </c>
      <c r="L108" s="19">
        <v>588</v>
      </c>
      <c r="M108" s="18">
        <v>17</v>
      </c>
      <c r="N108" s="18" t="s">
        <v>20</v>
      </c>
      <c r="O108" s="19">
        <v>23</v>
      </c>
      <c r="P108" s="17">
        <v>8</v>
      </c>
      <c r="Q108" s="17">
        <f t="shared" si="8"/>
        <v>209234000</v>
      </c>
      <c r="R108" s="17">
        <f t="shared" si="9"/>
        <v>27850</v>
      </c>
      <c r="S108" s="17">
        <f t="shared" si="10"/>
        <v>70600106</v>
      </c>
      <c r="T108" s="17">
        <f t="shared" si="11"/>
        <v>131111074</v>
      </c>
      <c r="U108" s="17">
        <f t="shared" si="12"/>
        <v>131</v>
      </c>
      <c r="V108" s="17">
        <f t="shared" si="14"/>
        <v>106</v>
      </c>
      <c r="W108" s="17" t="str">
        <f t="shared" si="15"/>
        <v>BOL Platz 7 Rang 5</v>
      </c>
    </row>
    <row r="109" spans="1:23" x14ac:dyDescent="0.35">
      <c r="A109" s="17"/>
      <c r="B109" s="17"/>
      <c r="C109" s="16"/>
      <c r="D109" s="18">
        <v>8</v>
      </c>
      <c r="E109" s="18" t="s">
        <v>194</v>
      </c>
      <c r="F109" s="18">
        <v>20</v>
      </c>
      <c r="G109" s="18">
        <v>7</v>
      </c>
      <c r="H109" s="18">
        <v>1</v>
      </c>
      <c r="I109" s="18">
        <v>12</v>
      </c>
      <c r="J109" s="18">
        <v>582</v>
      </c>
      <c r="K109" s="18" t="s">
        <v>20</v>
      </c>
      <c r="L109" s="19">
        <v>615</v>
      </c>
      <c r="M109" s="18">
        <v>15</v>
      </c>
      <c r="N109" s="18" t="s">
        <v>20</v>
      </c>
      <c r="O109" s="19">
        <v>25</v>
      </c>
      <c r="P109" s="17">
        <v>8</v>
      </c>
      <c r="Q109" s="17">
        <f t="shared" si="8"/>
        <v>209130000</v>
      </c>
      <c r="R109" s="17">
        <f t="shared" si="9"/>
        <v>29100</v>
      </c>
      <c r="S109" s="17">
        <f t="shared" si="10"/>
        <v>69250107</v>
      </c>
      <c r="T109" s="17">
        <f t="shared" si="11"/>
        <v>140081081</v>
      </c>
      <c r="U109" s="17">
        <f t="shared" si="12"/>
        <v>140</v>
      </c>
      <c r="V109" s="17">
        <f t="shared" si="14"/>
        <v>107</v>
      </c>
      <c r="W109" s="17" t="str">
        <f t="shared" si="15"/>
        <v>BOL Platz 8 Rang 6</v>
      </c>
    </row>
    <row r="110" spans="1:23" x14ac:dyDescent="0.35">
      <c r="A110" s="17"/>
      <c r="B110" s="17"/>
      <c r="C110" s="16"/>
      <c r="D110" s="18">
        <v>9</v>
      </c>
      <c r="E110" s="18" t="s">
        <v>187</v>
      </c>
      <c r="F110" s="18">
        <v>20</v>
      </c>
      <c r="G110" s="18">
        <v>6</v>
      </c>
      <c r="H110" s="18">
        <v>1</v>
      </c>
      <c r="I110" s="18">
        <v>13</v>
      </c>
      <c r="J110" s="18">
        <v>548</v>
      </c>
      <c r="K110" s="18" t="s">
        <v>20</v>
      </c>
      <c r="L110" s="19">
        <v>602</v>
      </c>
      <c r="M110" s="18">
        <v>13</v>
      </c>
      <c r="N110" s="18" t="s">
        <v>20</v>
      </c>
      <c r="O110" s="19">
        <v>27</v>
      </c>
      <c r="P110" s="17">
        <v>8</v>
      </c>
      <c r="Q110" s="17">
        <f t="shared" si="8"/>
        <v>209026000</v>
      </c>
      <c r="R110" s="17">
        <f t="shared" si="9"/>
        <v>27400</v>
      </c>
      <c r="S110" s="17">
        <f t="shared" si="10"/>
        <v>69900108</v>
      </c>
      <c r="T110" s="17">
        <f t="shared" si="11"/>
        <v>148123077</v>
      </c>
      <c r="U110" s="17">
        <f t="shared" si="12"/>
        <v>148</v>
      </c>
      <c r="V110" s="17">
        <f t="shared" si="14"/>
        <v>108</v>
      </c>
      <c r="W110" s="17" t="str">
        <f t="shared" si="15"/>
        <v>BOL Platz 9 Rang 6</v>
      </c>
    </row>
    <row r="111" spans="1:23" x14ac:dyDescent="0.35">
      <c r="A111" s="17"/>
      <c r="B111" s="17"/>
      <c r="C111" s="16"/>
      <c r="D111" s="18">
        <v>10</v>
      </c>
      <c r="E111" s="18" t="s">
        <v>269</v>
      </c>
      <c r="F111" s="18">
        <v>20</v>
      </c>
      <c r="G111" s="18">
        <v>6</v>
      </c>
      <c r="H111" s="18">
        <v>0</v>
      </c>
      <c r="I111" s="18">
        <v>14</v>
      </c>
      <c r="J111" s="18">
        <v>569</v>
      </c>
      <c r="K111" s="18" t="s">
        <v>20</v>
      </c>
      <c r="L111" s="19">
        <v>635</v>
      </c>
      <c r="M111" s="18">
        <v>12</v>
      </c>
      <c r="N111" s="18" t="s">
        <v>20</v>
      </c>
      <c r="O111" s="19">
        <v>28</v>
      </c>
      <c r="P111" s="17">
        <v>8</v>
      </c>
      <c r="Q111" s="17">
        <f t="shared" si="8"/>
        <v>208924000</v>
      </c>
      <c r="R111" s="17">
        <f t="shared" si="9"/>
        <v>28450</v>
      </c>
      <c r="S111" s="17">
        <f t="shared" si="10"/>
        <v>68250109</v>
      </c>
      <c r="T111" s="17">
        <f t="shared" si="11"/>
        <v>155098084</v>
      </c>
      <c r="U111" s="17">
        <f t="shared" si="12"/>
        <v>155</v>
      </c>
      <c r="V111" s="17">
        <f t="shared" si="14"/>
        <v>109</v>
      </c>
      <c r="W111" s="17" t="str">
        <f t="shared" si="15"/>
        <v>BOL Platz 10 Rang 5</v>
      </c>
    </row>
    <row r="112" spans="1:23" x14ac:dyDescent="0.35">
      <c r="A112" s="17"/>
      <c r="B112" s="17"/>
      <c r="C112" s="16"/>
      <c r="D112" s="18">
        <v>11</v>
      </c>
      <c r="E112" s="18" t="s">
        <v>267</v>
      </c>
      <c r="F112" s="18">
        <v>20</v>
      </c>
      <c r="G112" s="18">
        <v>5</v>
      </c>
      <c r="H112" s="18">
        <v>1</v>
      </c>
      <c r="I112" s="18">
        <v>14</v>
      </c>
      <c r="J112" s="18">
        <v>513</v>
      </c>
      <c r="K112" s="18" t="s">
        <v>20</v>
      </c>
      <c r="L112" s="19">
        <v>572</v>
      </c>
      <c r="M112" s="18">
        <v>11</v>
      </c>
      <c r="N112" s="18" t="s">
        <v>20</v>
      </c>
      <c r="O112" s="19">
        <v>29</v>
      </c>
      <c r="P112" s="17">
        <v>8</v>
      </c>
      <c r="Q112" s="17">
        <f t="shared" si="8"/>
        <v>208822000</v>
      </c>
      <c r="R112" s="17">
        <f t="shared" si="9"/>
        <v>25650</v>
      </c>
      <c r="S112" s="17">
        <f t="shared" si="10"/>
        <v>71400110</v>
      </c>
      <c r="T112" s="17">
        <f t="shared" si="11"/>
        <v>160154066</v>
      </c>
      <c r="U112" s="17">
        <f t="shared" si="12"/>
        <v>160</v>
      </c>
      <c r="V112" s="17">
        <f t="shared" si="14"/>
        <v>110</v>
      </c>
      <c r="W112" s="17" t="str">
        <f t="shared" si="15"/>
        <v>BOL Platz 11 Rang 2</v>
      </c>
    </row>
    <row r="113" spans="1:23" x14ac:dyDescent="0.35">
      <c r="A113" s="17"/>
      <c r="B113" s="17"/>
      <c r="C113" s="16" t="s">
        <v>516</v>
      </c>
      <c r="D113" s="18">
        <v>1</v>
      </c>
      <c r="E113" s="18" t="s">
        <v>219</v>
      </c>
      <c r="F113" s="18">
        <v>22</v>
      </c>
      <c r="G113" s="18">
        <v>21</v>
      </c>
      <c r="H113" s="18">
        <v>0</v>
      </c>
      <c r="I113" s="18">
        <v>1</v>
      </c>
      <c r="J113" s="18">
        <v>781</v>
      </c>
      <c r="K113" s="18" t="s">
        <v>20</v>
      </c>
      <c r="L113" s="19">
        <v>584</v>
      </c>
      <c r="M113" s="18">
        <v>42</v>
      </c>
      <c r="N113" s="18" t="s">
        <v>20</v>
      </c>
      <c r="O113" s="19">
        <v>2</v>
      </c>
      <c r="P113" s="17">
        <v>8</v>
      </c>
      <c r="Q113" s="17">
        <f t="shared" si="8"/>
        <v>209876363</v>
      </c>
      <c r="R113" s="17">
        <f t="shared" si="9"/>
        <v>35500</v>
      </c>
      <c r="S113" s="17">
        <f t="shared" si="10"/>
        <v>64363111</v>
      </c>
      <c r="T113" s="17">
        <f t="shared" si="11"/>
        <v>79001100</v>
      </c>
      <c r="U113" s="17">
        <f t="shared" si="12"/>
        <v>79</v>
      </c>
      <c r="V113" s="17">
        <f t="shared" si="14"/>
        <v>111</v>
      </c>
      <c r="W113" s="17" t="str">
        <f t="shared" si="15"/>
        <v>BOL Platz 1 Rang 1</v>
      </c>
    </row>
    <row r="114" spans="1:23" x14ac:dyDescent="0.35">
      <c r="A114" s="17"/>
      <c r="B114" s="17"/>
      <c r="C114" s="16"/>
      <c r="D114" s="18">
        <v>2</v>
      </c>
      <c r="E114" s="18" t="s">
        <v>188</v>
      </c>
      <c r="F114" s="18">
        <v>22</v>
      </c>
      <c r="G114" s="18">
        <v>19</v>
      </c>
      <c r="H114" s="18">
        <v>1</v>
      </c>
      <c r="I114" s="18">
        <v>2</v>
      </c>
      <c r="J114" s="18">
        <v>677</v>
      </c>
      <c r="K114" s="18" t="s">
        <v>20</v>
      </c>
      <c r="L114" s="19">
        <v>517</v>
      </c>
      <c r="M114" s="18">
        <v>39</v>
      </c>
      <c r="N114" s="18" t="s">
        <v>20</v>
      </c>
      <c r="O114" s="19">
        <v>5</v>
      </c>
      <c r="P114" s="17">
        <v>8</v>
      </c>
      <c r="Q114" s="17">
        <f t="shared" si="8"/>
        <v>209770909</v>
      </c>
      <c r="R114" s="17">
        <f t="shared" si="9"/>
        <v>30772</v>
      </c>
      <c r="S114" s="17">
        <f t="shared" si="10"/>
        <v>67409112</v>
      </c>
      <c r="T114" s="17">
        <f t="shared" si="11"/>
        <v>87032085</v>
      </c>
      <c r="U114" s="17">
        <f t="shared" si="12"/>
        <v>87</v>
      </c>
      <c r="V114" s="17">
        <f t="shared" si="14"/>
        <v>112</v>
      </c>
      <c r="W114" s="17" t="str">
        <f t="shared" si="15"/>
        <v>BOL Platz 2 Rang 1</v>
      </c>
    </row>
    <row r="115" spans="1:23" x14ac:dyDescent="0.35">
      <c r="A115" s="17"/>
      <c r="B115" s="17"/>
      <c r="C115" s="16"/>
      <c r="D115" s="18">
        <v>3</v>
      </c>
      <c r="E115" s="18" t="s">
        <v>186</v>
      </c>
      <c r="F115" s="18">
        <v>22</v>
      </c>
      <c r="G115" s="18">
        <v>16</v>
      </c>
      <c r="H115" s="18">
        <v>1</v>
      </c>
      <c r="I115" s="18">
        <v>5</v>
      </c>
      <c r="J115" s="18">
        <v>690</v>
      </c>
      <c r="K115" s="18" t="s">
        <v>20</v>
      </c>
      <c r="L115" s="19">
        <v>603</v>
      </c>
      <c r="M115" s="18">
        <v>33</v>
      </c>
      <c r="N115" s="18" t="s">
        <v>20</v>
      </c>
      <c r="O115" s="19">
        <v>11</v>
      </c>
      <c r="P115" s="17">
        <v>8</v>
      </c>
      <c r="Q115" s="17">
        <f t="shared" si="8"/>
        <v>209660000</v>
      </c>
      <c r="R115" s="17">
        <f t="shared" si="9"/>
        <v>31363</v>
      </c>
      <c r="S115" s="17">
        <f t="shared" si="10"/>
        <v>63500113</v>
      </c>
      <c r="T115" s="17">
        <f t="shared" si="11"/>
        <v>96026105</v>
      </c>
      <c r="U115" s="17">
        <f t="shared" si="12"/>
        <v>96</v>
      </c>
      <c r="V115" s="17">
        <f t="shared" si="14"/>
        <v>113</v>
      </c>
      <c r="W115" s="17" t="str">
        <f t="shared" si="15"/>
        <v>BOL Platz 3 Rang 2</v>
      </c>
    </row>
    <row r="116" spans="1:23" x14ac:dyDescent="0.35">
      <c r="A116" s="17"/>
      <c r="B116" s="17"/>
      <c r="C116" s="16"/>
      <c r="D116" s="18">
        <v>4</v>
      </c>
      <c r="E116" s="18" t="s">
        <v>221</v>
      </c>
      <c r="F116" s="18">
        <v>22</v>
      </c>
      <c r="G116" s="18">
        <v>13</v>
      </c>
      <c r="H116" s="18">
        <v>0</v>
      </c>
      <c r="I116" s="18">
        <v>9</v>
      </c>
      <c r="J116" s="18">
        <v>631</v>
      </c>
      <c r="K116" s="18" t="s">
        <v>20</v>
      </c>
      <c r="L116" s="19">
        <v>562</v>
      </c>
      <c r="M116" s="18">
        <v>26</v>
      </c>
      <c r="N116" s="18" t="s">
        <v>20</v>
      </c>
      <c r="O116" s="19">
        <v>18</v>
      </c>
      <c r="P116" s="17">
        <v>8</v>
      </c>
      <c r="Q116" s="17">
        <f t="shared" si="8"/>
        <v>209547272</v>
      </c>
      <c r="R116" s="17">
        <f t="shared" si="9"/>
        <v>28681</v>
      </c>
      <c r="S116" s="17">
        <f t="shared" si="10"/>
        <v>65363114</v>
      </c>
      <c r="T116" s="17">
        <f t="shared" si="11"/>
        <v>104093096</v>
      </c>
      <c r="U116" s="17">
        <f t="shared" si="12"/>
        <v>104</v>
      </c>
      <c r="V116" s="17">
        <f t="shared" si="14"/>
        <v>114</v>
      </c>
      <c r="W116" s="17" t="str">
        <f t="shared" si="15"/>
        <v>BOL Platz 4 Rang 2</v>
      </c>
    </row>
    <row r="117" spans="1:23" x14ac:dyDescent="0.35">
      <c r="A117" s="17"/>
      <c r="B117" s="17"/>
      <c r="C117" s="16"/>
      <c r="D117" s="18">
        <v>5</v>
      </c>
      <c r="E117" s="18" t="s">
        <v>223</v>
      </c>
      <c r="F117" s="18">
        <v>22</v>
      </c>
      <c r="G117" s="18">
        <v>12</v>
      </c>
      <c r="H117" s="18">
        <v>0</v>
      </c>
      <c r="I117" s="18">
        <v>10</v>
      </c>
      <c r="J117" s="18">
        <v>643</v>
      </c>
      <c r="K117" s="18" t="s">
        <v>20</v>
      </c>
      <c r="L117" s="19">
        <v>638</v>
      </c>
      <c r="M117" s="18">
        <v>24</v>
      </c>
      <c r="N117" s="18" t="s">
        <v>20</v>
      </c>
      <c r="O117" s="19">
        <v>20</v>
      </c>
      <c r="P117" s="17">
        <v>8</v>
      </c>
      <c r="Q117" s="17">
        <f t="shared" si="8"/>
        <v>209443636</v>
      </c>
      <c r="R117" s="17">
        <f t="shared" si="9"/>
        <v>29227</v>
      </c>
      <c r="S117" s="17">
        <f t="shared" si="10"/>
        <v>61909115</v>
      </c>
      <c r="T117" s="17">
        <f t="shared" si="11"/>
        <v>114078123</v>
      </c>
      <c r="U117" s="17">
        <f t="shared" si="12"/>
        <v>114</v>
      </c>
      <c r="V117" s="17">
        <f t="shared" si="14"/>
        <v>115</v>
      </c>
      <c r="W117" s="17" t="str">
        <f t="shared" si="15"/>
        <v>BOL Platz 5 Rang 4</v>
      </c>
    </row>
    <row r="118" spans="1:23" x14ac:dyDescent="0.35">
      <c r="A118" s="17"/>
      <c r="B118" s="17"/>
      <c r="C118" s="16"/>
      <c r="D118" s="18">
        <v>6</v>
      </c>
      <c r="E118" s="18" t="s">
        <v>220</v>
      </c>
      <c r="F118" s="18">
        <v>22</v>
      </c>
      <c r="G118" s="18">
        <v>11</v>
      </c>
      <c r="H118" s="18">
        <v>0</v>
      </c>
      <c r="I118" s="18">
        <v>11</v>
      </c>
      <c r="J118" s="18">
        <v>671</v>
      </c>
      <c r="K118" s="18" t="s">
        <v>20</v>
      </c>
      <c r="L118" s="19">
        <v>690</v>
      </c>
      <c r="M118" s="18">
        <v>22</v>
      </c>
      <c r="N118" s="18" t="s">
        <v>20</v>
      </c>
      <c r="O118" s="19">
        <v>22</v>
      </c>
      <c r="P118" s="17">
        <v>8</v>
      </c>
      <c r="Q118" s="17">
        <f t="shared" si="8"/>
        <v>209340000</v>
      </c>
      <c r="R118" s="17">
        <f t="shared" si="9"/>
        <v>30500</v>
      </c>
      <c r="S118" s="17">
        <f t="shared" si="10"/>
        <v>59545116</v>
      </c>
      <c r="T118" s="17">
        <f t="shared" si="11"/>
        <v>119041143</v>
      </c>
      <c r="U118" s="17">
        <f t="shared" si="12"/>
        <v>119</v>
      </c>
      <c r="V118" s="17">
        <f t="shared" si="14"/>
        <v>116</v>
      </c>
      <c r="W118" s="17" t="str">
        <f t="shared" si="15"/>
        <v>BOL Platz 6 Rang 1</v>
      </c>
    </row>
    <row r="119" spans="1:23" x14ac:dyDescent="0.35">
      <c r="A119" s="17"/>
      <c r="B119" s="17"/>
      <c r="C119" s="16"/>
      <c r="D119" s="18">
        <v>7</v>
      </c>
      <c r="E119" s="18" t="s">
        <v>224</v>
      </c>
      <c r="F119" s="18">
        <v>22</v>
      </c>
      <c r="G119" s="18">
        <v>9</v>
      </c>
      <c r="H119" s="18">
        <v>1</v>
      </c>
      <c r="I119" s="18">
        <v>12</v>
      </c>
      <c r="J119" s="18">
        <v>639</v>
      </c>
      <c r="K119" s="18" t="s">
        <v>20</v>
      </c>
      <c r="L119" s="19">
        <v>663</v>
      </c>
      <c r="M119" s="18">
        <v>19</v>
      </c>
      <c r="N119" s="18" t="s">
        <v>20</v>
      </c>
      <c r="O119" s="19">
        <v>25</v>
      </c>
      <c r="P119" s="17">
        <v>8</v>
      </c>
      <c r="Q119" s="17">
        <f t="shared" si="8"/>
        <v>209234545</v>
      </c>
      <c r="R119" s="17">
        <f t="shared" si="9"/>
        <v>29045</v>
      </c>
      <c r="S119" s="17">
        <f t="shared" si="10"/>
        <v>60772117</v>
      </c>
      <c r="T119" s="17">
        <f t="shared" si="11"/>
        <v>130084135</v>
      </c>
      <c r="U119" s="17">
        <f t="shared" si="12"/>
        <v>130</v>
      </c>
      <c r="V119" s="17">
        <f t="shared" si="14"/>
        <v>117</v>
      </c>
      <c r="W119" s="17" t="str">
        <f t="shared" si="15"/>
        <v>BOL Platz 7 Rang 4</v>
      </c>
    </row>
    <row r="120" spans="1:23" x14ac:dyDescent="0.35">
      <c r="A120" s="17"/>
      <c r="B120" s="17"/>
      <c r="C120" s="16"/>
      <c r="D120" s="18">
        <v>8</v>
      </c>
      <c r="E120" s="18" t="s">
        <v>222</v>
      </c>
      <c r="F120" s="18">
        <v>22</v>
      </c>
      <c r="G120" s="18">
        <v>9</v>
      </c>
      <c r="H120" s="18">
        <v>1</v>
      </c>
      <c r="I120" s="18">
        <v>12</v>
      </c>
      <c r="J120" s="18">
        <v>531</v>
      </c>
      <c r="K120" s="18" t="s">
        <v>20</v>
      </c>
      <c r="L120" s="19">
        <v>533</v>
      </c>
      <c r="M120" s="18">
        <v>19</v>
      </c>
      <c r="N120" s="18" t="s">
        <v>20</v>
      </c>
      <c r="O120" s="19">
        <v>25</v>
      </c>
      <c r="P120" s="17">
        <v>8</v>
      </c>
      <c r="Q120" s="17">
        <f t="shared" si="8"/>
        <v>209134545</v>
      </c>
      <c r="R120" s="17">
        <f t="shared" si="9"/>
        <v>24136</v>
      </c>
      <c r="S120" s="17">
        <f t="shared" si="10"/>
        <v>66681118</v>
      </c>
      <c r="T120" s="17">
        <f t="shared" si="11"/>
        <v>134162089</v>
      </c>
      <c r="U120" s="17">
        <f t="shared" si="12"/>
        <v>134</v>
      </c>
      <c r="V120" s="17">
        <f t="shared" si="14"/>
        <v>118</v>
      </c>
      <c r="W120" s="17" t="str">
        <f t="shared" si="15"/>
        <v>BOL Platz 8 Rang 0</v>
      </c>
    </row>
    <row r="121" spans="1:23" x14ac:dyDescent="0.35">
      <c r="A121" s="17"/>
      <c r="B121" s="17"/>
      <c r="C121" s="16"/>
      <c r="D121" s="18">
        <v>9</v>
      </c>
      <c r="E121" s="18" t="s">
        <v>225</v>
      </c>
      <c r="F121" s="18">
        <v>22</v>
      </c>
      <c r="G121" s="18">
        <v>8</v>
      </c>
      <c r="H121" s="18">
        <v>1</v>
      </c>
      <c r="I121" s="18">
        <v>13</v>
      </c>
      <c r="J121" s="18">
        <v>583</v>
      </c>
      <c r="K121" s="18" t="s">
        <v>20</v>
      </c>
      <c r="L121" s="19">
        <v>679</v>
      </c>
      <c r="M121" s="18">
        <v>17</v>
      </c>
      <c r="N121" s="18" t="s">
        <v>20</v>
      </c>
      <c r="O121" s="19">
        <v>27</v>
      </c>
      <c r="P121" s="17">
        <v>8</v>
      </c>
      <c r="Q121" s="17">
        <f t="shared" si="8"/>
        <v>209030909</v>
      </c>
      <c r="R121" s="17">
        <f t="shared" si="9"/>
        <v>26500</v>
      </c>
      <c r="S121" s="17">
        <f t="shared" si="10"/>
        <v>60045119</v>
      </c>
      <c r="T121" s="17">
        <f t="shared" si="11"/>
        <v>143140139</v>
      </c>
      <c r="U121" s="17">
        <f t="shared" si="12"/>
        <v>144</v>
      </c>
      <c r="V121" s="17">
        <f t="shared" si="14"/>
        <v>119</v>
      </c>
      <c r="W121" s="17" t="str">
        <f t="shared" si="15"/>
        <v>BOL Platz 9 Rang 2</v>
      </c>
    </row>
    <row r="122" spans="1:23" x14ac:dyDescent="0.35">
      <c r="A122" s="17"/>
      <c r="B122" s="17"/>
      <c r="C122" s="16"/>
      <c r="D122" s="18">
        <v>10</v>
      </c>
      <c r="E122" s="18" t="s">
        <v>226</v>
      </c>
      <c r="F122" s="18">
        <v>22</v>
      </c>
      <c r="G122" s="18">
        <v>6</v>
      </c>
      <c r="H122" s="18">
        <v>1</v>
      </c>
      <c r="I122" s="18">
        <v>15</v>
      </c>
      <c r="J122" s="18">
        <v>591</v>
      </c>
      <c r="K122" s="18" t="s">
        <v>20</v>
      </c>
      <c r="L122" s="19">
        <v>658</v>
      </c>
      <c r="M122" s="18">
        <v>13</v>
      </c>
      <c r="N122" s="18" t="s">
        <v>20</v>
      </c>
      <c r="O122" s="19">
        <v>31</v>
      </c>
      <c r="P122" s="17">
        <v>8</v>
      </c>
      <c r="Q122" s="17">
        <f t="shared" si="8"/>
        <v>208923636</v>
      </c>
      <c r="R122" s="17">
        <f t="shared" si="9"/>
        <v>26863</v>
      </c>
      <c r="S122" s="17">
        <f t="shared" si="10"/>
        <v>61000120</v>
      </c>
      <c r="T122" s="17">
        <f t="shared" si="11"/>
        <v>156136129</v>
      </c>
      <c r="U122" s="17">
        <f t="shared" si="12"/>
        <v>156</v>
      </c>
      <c r="V122" s="17">
        <f t="shared" si="14"/>
        <v>120</v>
      </c>
      <c r="W122" s="17" t="str">
        <f t="shared" si="15"/>
        <v>BOL Platz 10 Rang 6</v>
      </c>
    </row>
    <row r="123" spans="1:23" x14ac:dyDescent="0.35">
      <c r="A123" s="17"/>
      <c r="B123" s="17"/>
      <c r="C123" s="16"/>
      <c r="D123" s="18">
        <v>11</v>
      </c>
      <c r="E123" s="18" t="s">
        <v>227</v>
      </c>
      <c r="F123" s="18">
        <v>22</v>
      </c>
      <c r="G123" s="18">
        <v>3</v>
      </c>
      <c r="H123" s="18">
        <v>1</v>
      </c>
      <c r="I123" s="18">
        <v>18</v>
      </c>
      <c r="J123" s="18">
        <v>523</v>
      </c>
      <c r="K123" s="18" t="s">
        <v>20</v>
      </c>
      <c r="L123" s="19">
        <v>662</v>
      </c>
      <c r="M123" s="18">
        <v>7</v>
      </c>
      <c r="N123" s="18" t="s">
        <v>20</v>
      </c>
      <c r="O123" s="19">
        <v>37</v>
      </c>
      <c r="P123" s="17">
        <v>8</v>
      </c>
      <c r="Q123" s="17">
        <f t="shared" si="8"/>
        <v>208812727</v>
      </c>
      <c r="R123" s="17">
        <f t="shared" si="9"/>
        <v>23772</v>
      </c>
      <c r="S123" s="17">
        <f t="shared" si="10"/>
        <v>60818121</v>
      </c>
      <c r="T123" s="17">
        <f t="shared" si="11"/>
        <v>164165133</v>
      </c>
      <c r="U123" s="17">
        <f t="shared" si="12"/>
        <v>164</v>
      </c>
      <c r="V123" s="17">
        <f t="shared" si="14"/>
        <v>121</v>
      </c>
      <c r="W123" s="17" t="str">
        <f t="shared" si="15"/>
        <v>BOL Platz 11 Rang 6</v>
      </c>
    </row>
    <row r="124" spans="1:23" x14ac:dyDescent="0.35">
      <c r="A124" s="17"/>
      <c r="B124" s="17"/>
      <c r="C124" s="16"/>
      <c r="D124" s="18">
        <v>12</v>
      </c>
      <c r="E124" s="18" t="s">
        <v>185</v>
      </c>
      <c r="F124" s="18">
        <v>22</v>
      </c>
      <c r="G124" s="18">
        <v>1</v>
      </c>
      <c r="H124" s="18">
        <v>1</v>
      </c>
      <c r="I124" s="18">
        <v>20</v>
      </c>
      <c r="J124" s="18">
        <v>522</v>
      </c>
      <c r="K124" s="18" t="s">
        <v>20</v>
      </c>
      <c r="L124" s="19">
        <v>693</v>
      </c>
      <c r="M124" s="18">
        <v>3</v>
      </c>
      <c r="N124" s="18" t="s">
        <v>20</v>
      </c>
      <c r="O124" s="19">
        <v>41</v>
      </c>
      <c r="P124" s="17">
        <v>8</v>
      </c>
      <c r="Q124" s="17">
        <f t="shared" si="8"/>
        <v>208705454</v>
      </c>
      <c r="R124" s="17">
        <f t="shared" si="9"/>
        <v>23727</v>
      </c>
      <c r="S124" s="17">
        <f t="shared" si="10"/>
        <v>59409122</v>
      </c>
      <c r="T124" s="17">
        <f t="shared" si="11"/>
        <v>167166144</v>
      </c>
      <c r="U124" s="17">
        <f t="shared" si="12"/>
        <v>167</v>
      </c>
      <c r="V124" s="17">
        <f t="shared" si="14"/>
        <v>122</v>
      </c>
      <c r="W124" s="17" t="str">
        <f t="shared" si="15"/>
        <v>BOL Platz 12 Rang 1</v>
      </c>
    </row>
    <row r="125" spans="1:23" x14ac:dyDescent="0.35">
      <c r="A125" s="17"/>
      <c r="B125" s="17"/>
      <c r="C125" s="16" t="s">
        <v>517</v>
      </c>
      <c r="D125" s="18">
        <v>1</v>
      </c>
      <c r="E125" s="18" t="s">
        <v>228</v>
      </c>
      <c r="F125" s="18">
        <v>22</v>
      </c>
      <c r="G125" s="18">
        <v>19</v>
      </c>
      <c r="H125" s="18">
        <v>0</v>
      </c>
      <c r="I125" s="18">
        <v>3</v>
      </c>
      <c r="J125" s="18">
        <v>687</v>
      </c>
      <c r="K125" s="18" t="s">
        <v>20</v>
      </c>
      <c r="L125" s="19">
        <v>587</v>
      </c>
      <c r="M125" s="18">
        <v>38</v>
      </c>
      <c r="N125" s="18" t="s">
        <v>20</v>
      </c>
      <c r="O125" s="19">
        <v>6</v>
      </c>
      <c r="P125" s="17">
        <v>8</v>
      </c>
      <c r="Q125" s="17">
        <f t="shared" si="8"/>
        <v>209869090</v>
      </c>
      <c r="R125" s="17">
        <f t="shared" si="9"/>
        <v>31227</v>
      </c>
      <c r="S125" s="17">
        <f t="shared" si="10"/>
        <v>64227123</v>
      </c>
      <c r="T125" s="17">
        <f t="shared" si="11"/>
        <v>82027101</v>
      </c>
      <c r="U125" s="17">
        <f t="shared" si="12"/>
        <v>82</v>
      </c>
      <c r="V125" s="17">
        <f t="shared" si="14"/>
        <v>123</v>
      </c>
      <c r="W125" s="17" t="str">
        <f t="shared" si="15"/>
        <v>BOL Platz 1 Rang 4</v>
      </c>
    </row>
    <row r="126" spans="1:23" x14ac:dyDescent="0.35">
      <c r="A126" s="17"/>
      <c r="B126" s="17"/>
      <c r="C126" s="16"/>
      <c r="D126" s="18">
        <v>2</v>
      </c>
      <c r="E126" s="18" t="s">
        <v>189</v>
      </c>
      <c r="F126" s="18">
        <v>22</v>
      </c>
      <c r="G126" s="18">
        <v>16</v>
      </c>
      <c r="H126" s="18">
        <v>0</v>
      </c>
      <c r="I126" s="18">
        <v>6</v>
      </c>
      <c r="J126" s="18">
        <v>648</v>
      </c>
      <c r="K126" s="18" t="s">
        <v>20</v>
      </c>
      <c r="L126" s="19">
        <v>574</v>
      </c>
      <c r="M126" s="18">
        <v>32</v>
      </c>
      <c r="N126" s="18" t="s">
        <v>20</v>
      </c>
      <c r="O126" s="19">
        <v>12</v>
      </c>
      <c r="P126" s="17">
        <v>8</v>
      </c>
      <c r="Q126" s="17">
        <f t="shared" si="8"/>
        <v>209758181</v>
      </c>
      <c r="R126" s="17">
        <f t="shared" si="9"/>
        <v>29454</v>
      </c>
      <c r="S126" s="17">
        <f t="shared" si="10"/>
        <v>64818124</v>
      </c>
      <c r="T126" s="17">
        <f t="shared" si="11"/>
        <v>90068098</v>
      </c>
      <c r="U126" s="17">
        <f t="shared" si="12"/>
        <v>90</v>
      </c>
      <c r="V126" s="17">
        <f t="shared" si="14"/>
        <v>124</v>
      </c>
      <c r="W126" s="17" t="str">
        <f t="shared" si="15"/>
        <v>BOL Platz 2 Rang 4</v>
      </c>
    </row>
    <row r="127" spans="1:23" x14ac:dyDescent="0.35">
      <c r="A127" s="17"/>
      <c r="B127" s="17"/>
      <c r="C127" s="16"/>
      <c r="D127" s="18">
        <v>3</v>
      </c>
      <c r="E127" s="18" t="s">
        <v>229</v>
      </c>
      <c r="F127" s="18">
        <v>22</v>
      </c>
      <c r="G127" s="18">
        <v>15</v>
      </c>
      <c r="H127" s="18">
        <v>0</v>
      </c>
      <c r="I127" s="18">
        <v>7</v>
      </c>
      <c r="J127" s="18">
        <v>639</v>
      </c>
      <c r="K127" s="18" t="s">
        <v>20</v>
      </c>
      <c r="L127" s="19">
        <v>568</v>
      </c>
      <c r="M127" s="18">
        <v>30</v>
      </c>
      <c r="N127" s="18" t="s">
        <v>20</v>
      </c>
      <c r="O127" s="19">
        <v>14</v>
      </c>
      <c r="P127" s="17">
        <v>8</v>
      </c>
      <c r="Q127" s="17">
        <f t="shared" si="8"/>
        <v>209654545</v>
      </c>
      <c r="R127" s="17">
        <f t="shared" si="9"/>
        <v>29045</v>
      </c>
      <c r="S127" s="17">
        <f t="shared" si="10"/>
        <v>65090125</v>
      </c>
      <c r="T127" s="17">
        <f t="shared" si="11"/>
        <v>98084097</v>
      </c>
      <c r="U127" s="17">
        <f t="shared" si="12"/>
        <v>98</v>
      </c>
      <c r="V127" s="17">
        <f t="shared" si="14"/>
        <v>125</v>
      </c>
      <c r="W127" s="17" t="str">
        <f t="shared" si="15"/>
        <v>BOL Platz 3 Rang 4</v>
      </c>
    </row>
    <row r="128" spans="1:23" x14ac:dyDescent="0.35">
      <c r="A128" s="17"/>
      <c r="B128" s="17"/>
      <c r="C128" s="16"/>
      <c r="D128" s="18">
        <v>4</v>
      </c>
      <c r="E128" s="18" t="s">
        <v>230</v>
      </c>
      <c r="F128" s="18">
        <v>22</v>
      </c>
      <c r="G128" s="18">
        <v>15</v>
      </c>
      <c r="H128" s="18">
        <v>0</v>
      </c>
      <c r="I128" s="18">
        <v>7</v>
      </c>
      <c r="J128" s="18">
        <v>625</v>
      </c>
      <c r="K128" s="18" t="s">
        <v>20</v>
      </c>
      <c r="L128" s="19">
        <v>530</v>
      </c>
      <c r="M128" s="18">
        <v>30</v>
      </c>
      <c r="N128" s="18" t="s">
        <v>20</v>
      </c>
      <c r="O128" s="19">
        <v>14</v>
      </c>
      <c r="P128" s="17">
        <v>8</v>
      </c>
      <c r="Q128" s="17">
        <f t="shared" si="8"/>
        <v>209554545</v>
      </c>
      <c r="R128" s="17">
        <f t="shared" si="9"/>
        <v>28409</v>
      </c>
      <c r="S128" s="17">
        <f t="shared" si="10"/>
        <v>66818126</v>
      </c>
      <c r="T128" s="17">
        <f t="shared" si="11"/>
        <v>102099087</v>
      </c>
      <c r="U128" s="17">
        <f t="shared" si="12"/>
        <v>102</v>
      </c>
      <c r="V128" s="17">
        <f t="shared" si="14"/>
        <v>126</v>
      </c>
      <c r="W128" s="17" t="str">
        <f t="shared" si="15"/>
        <v>BOL Platz 4 Rang 0</v>
      </c>
    </row>
    <row r="129" spans="1:23" x14ac:dyDescent="0.35">
      <c r="A129" s="17"/>
      <c r="B129" s="17"/>
      <c r="C129" s="16"/>
      <c r="D129" s="18">
        <v>5</v>
      </c>
      <c r="E129" s="18" t="s">
        <v>167</v>
      </c>
      <c r="F129" s="18">
        <v>22</v>
      </c>
      <c r="G129" s="18">
        <v>14</v>
      </c>
      <c r="H129" s="18">
        <v>0</v>
      </c>
      <c r="I129" s="18">
        <v>8</v>
      </c>
      <c r="J129" s="18">
        <v>619</v>
      </c>
      <c r="K129" s="18" t="s">
        <v>20</v>
      </c>
      <c r="L129" s="19">
        <v>559</v>
      </c>
      <c r="M129" s="18">
        <v>28</v>
      </c>
      <c r="N129" s="18" t="s">
        <v>20</v>
      </c>
      <c r="O129" s="19">
        <v>16</v>
      </c>
      <c r="P129" s="17">
        <v>8</v>
      </c>
      <c r="Q129" s="17">
        <f t="shared" si="8"/>
        <v>209450909</v>
      </c>
      <c r="R129" s="17">
        <f t="shared" si="9"/>
        <v>28136</v>
      </c>
      <c r="S129" s="17">
        <f t="shared" si="10"/>
        <v>65500127</v>
      </c>
      <c r="T129" s="17">
        <f t="shared" si="11"/>
        <v>110106095</v>
      </c>
      <c r="U129" s="17">
        <f t="shared" si="12"/>
        <v>110</v>
      </c>
      <c r="V129" s="17">
        <f t="shared" si="14"/>
        <v>127</v>
      </c>
      <c r="W129" s="17" t="str">
        <f t="shared" si="15"/>
        <v>BOL Platz 5 Rang 0</v>
      </c>
    </row>
    <row r="130" spans="1:23" x14ac:dyDescent="0.35">
      <c r="A130" s="17"/>
      <c r="B130" s="17"/>
      <c r="C130" s="16"/>
      <c r="D130" s="18">
        <v>6</v>
      </c>
      <c r="E130" s="18" t="s">
        <v>231</v>
      </c>
      <c r="F130" s="18">
        <v>22</v>
      </c>
      <c r="G130" s="18">
        <v>11</v>
      </c>
      <c r="H130" s="18">
        <v>0</v>
      </c>
      <c r="I130" s="18">
        <v>11</v>
      </c>
      <c r="J130" s="18">
        <v>606</v>
      </c>
      <c r="K130" s="18" t="s">
        <v>20</v>
      </c>
      <c r="L130" s="19">
        <v>617</v>
      </c>
      <c r="M130" s="18">
        <v>22</v>
      </c>
      <c r="N130" s="18" t="s">
        <v>20</v>
      </c>
      <c r="O130" s="19">
        <v>22</v>
      </c>
      <c r="P130" s="17">
        <v>8</v>
      </c>
      <c r="Q130" s="17">
        <f t="shared" si="8"/>
        <v>209340000</v>
      </c>
      <c r="R130" s="17">
        <f t="shared" si="9"/>
        <v>27545</v>
      </c>
      <c r="S130" s="17">
        <f t="shared" si="10"/>
        <v>62863128</v>
      </c>
      <c r="T130" s="17">
        <f t="shared" si="11"/>
        <v>119121112</v>
      </c>
      <c r="U130" s="17">
        <f t="shared" si="12"/>
        <v>121</v>
      </c>
      <c r="V130" s="17">
        <f t="shared" si="14"/>
        <v>128</v>
      </c>
      <c r="W130" s="17" t="str">
        <f t="shared" si="15"/>
        <v>BOL Platz 6 Rang 3</v>
      </c>
    </row>
    <row r="131" spans="1:23" x14ac:dyDescent="0.35">
      <c r="A131" s="17"/>
      <c r="B131" s="17"/>
      <c r="C131" s="16"/>
      <c r="D131" s="18">
        <v>7</v>
      </c>
      <c r="E131" s="18" t="s">
        <v>191</v>
      </c>
      <c r="F131" s="18">
        <v>22</v>
      </c>
      <c r="G131" s="18">
        <v>10</v>
      </c>
      <c r="H131" s="18">
        <v>0</v>
      </c>
      <c r="I131" s="18">
        <v>12</v>
      </c>
      <c r="J131" s="18">
        <v>592</v>
      </c>
      <c r="K131" s="18" t="s">
        <v>20</v>
      </c>
      <c r="L131" s="19">
        <v>583</v>
      </c>
      <c r="M131" s="18">
        <v>20</v>
      </c>
      <c r="N131" s="18" t="s">
        <v>20</v>
      </c>
      <c r="O131" s="19">
        <v>24</v>
      </c>
      <c r="P131" s="17">
        <v>8</v>
      </c>
      <c r="Q131" s="17">
        <f t="shared" si="8"/>
        <v>209236363</v>
      </c>
      <c r="R131" s="17">
        <f t="shared" si="9"/>
        <v>26909</v>
      </c>
      <c r="S131" s="17">
        <f t="shared" si="10"/>
        <v>64409129</v>
      </c>
      <c r="T131" s="17">
        <f t="shared" si="11"/>
        <v>128135099</v>
      </c>
      <c r="U131" s="17">
        <f t="shared" si="12"/>
        <v>128</v>
      </c>
      <c r="V131" s="17">
        <f t="shared" si="14"/>
        <v>129</v>
      </c>
      <c r="W131" s="17" t="str">
        <f t="shared" si="15"/>
        <v>BOL Platz 7 Rang 2</v>
      </c>
    </row>
    <row r="132" spans="1:23" x14ac:dyDescent="0.35">
      <c r="A132" s="17"/>
      <c r="B132" s="17"/>
      <c r="C132" s="16"/>
      <c r="D132" s="18">
        <v>8</v>
      </c>
      <c r="E132" s="18" t="s">
        <v>233</v>
      </c>
      <c r="F132" s="18">
        <v>22</v>
      </c>
      <c r="G132" s="18">
        <v>9</v>
      </c>
      <c r="H132" s="18">
        <v>0</v>
      </c>
      <c r="I132" s="18">
        <v>13</v>
      </c>
      <c r="J132" s="18">
        <v>484</v>
      </c>
      <c r="K132" s="18" t="s">
        <v>20</v>
      </c>
      <c r="L132" s="19">
        <v>494</v>
      </c>
      <c r="M132" s="18">
        <v>18</v>
      </c>
      <c r="N132" s="18" t="s">
        <v>20</v>
      </c>
      <c r="O132" s="19">
        <v>26</v>
      </c>
      <c r="P132" s="17">
        <v>8</v>
      </c>
      <c r="Q132" s="17">
        <f t="shared" ref="Q132:Q171" si="16">INT(40000*M132/F132)+100000*(99-D132+1000*(10-P132))</f>
        <v>209132727</v>
      </c>
      <c r="R132" s="17">
        <f t="shared" ref="R132:R171" si="17">INT(1000*J132/F132)</f>
        <v>22000</v>
      </c>
      <c r="S132" s="17">
        <f t="shared" ref="S132:S171" si="18">V132+1000*(INT(1000*(2000-L132)/F132))</f>
        <v>68454130</v>
      </c>
      <c r="T132" s="17">
        <f t="shared" ref="T132:T171" si="19">RANK(S132,S$3:S$171)+1000*RANK(R132,R$3:R$171)+1000000*RANK(Q132,Q$3:Q$171)</f>
        <v>135168083</v>
      </c>
      <c r="U132" s="17">
        <f t="shared" ref="U132:U171" si="20">RANK(T132,T$3:T$171,1)</f>
        <v>136</v>
      </c>
      <c r="V132" s="17">
        <f t="shared" si="14"/>
        <v>130</v>
      </c>
      <c r="W132" s="17" t="str">
        <f t="shared" si="15"/>
        <v>BOL Platz 8 Rang 2</v>
      </c>
    </row>
    <row r="133" spans="1:23" x14ac:dyDescent="0.35">
      <c r="A133" s="17"/>
      <c r="B133" s="17"/>
      <c r="C133" s="16"/>
      <c r="D133" s="18">
        <v>9</v>
      </c>
      <c r="E133" s="18" t="s">
        <v>232</v>
      </c>
      <c r="F133" s="18">
        <v>22</v>
      </c>
      <c r="G133" s="18">
        <v>9</v>
      </c>
      <c r="H133" s="18">
        <v>0</v>
      </c>
      <c r="I133" s="18">
        <v>13</v>
      </c>
      <c r="J133" s="18">
        <v>608</v>
      </c>
      <c r="K133" s="18" t="s">
        <v>20</v>
      </c>
      <c r="L133" s="19">
        <v>635</v>
      </c>
      <c r="M133" s="18">
        <v>18</v>
      </c>
      <c r="N133" s="18" t="s">
        <v>20</v>
      </c>
      <c r="O133" s="19">
        <v>26</v>
      </c>
      <c r="P133" s="17">
        <v>8</v>
      </c>
      <c r="Q133" s="17">
        <f t="shared" si="16"/>
        <v>209032727</v>
      </c>
      <c r="R133" s="17">
        <f t="shared" si="17"/>
        <v>27636</v>
      </c>
      <c r="S133" s="17">
        <f t="shared" si="18"/>
        <v>62045131</v>
      </c>
      <c r="T133" s="17">
        <f t="shared" si="19"/>
        <v>142118121</v>
      </c>
      <c r="U133" s="17">
        <f t="shared" si="20"/>
        <v>142</v>
      </c>
      <c r="V133" s="17">
        <f t="shared" si="14"/>
        <v>131</v>
      </c>
      <c r="W133" s="17" t="str">
        <f t="shared" si="15"/>
        <v>BOL Platz 9 Rang 0</v>
      </c>
    </row>
    <row r="134" spans="1:23" x14ac:dyDescent="0.35">
      <c r="A134" s="17"/>
      <c r="B134" s="17"/>
      <c r="C134" s="16"/>
      <c r="D134" s="18">
        <v>10</v>
      </c>
      <c r="E134" s="18" t="s">
        <v>234</v>
      </c>
      <c r="F134" s="18">
        <v>22</v>
      </c>
      <c r="G134" s="18">
        <v>8</v>
      </c>
      <c r="H134" s="18">
        <v>1</v>
      </c>
      <c r="I134" s="18">
        <v>13</v>
      </c>
      <c r="J134" s="18">
        <v>562</v>
      </c>
      <c r="K134" s="18" t="s">
        <v>20</v>
      </c>
      <c r="L134" s="19">
        <v>594</v>
      </c>
      <c r="M134" s="18">
        <v>17</v>
      </c>
      <c r="N134" s="18" t="s">
        <v>20</v>
      </c>
      <c r="O134" s="19">
        <v>27</v>
      </c>
      <c r="P134" s="17">
        <v>8</v>
      </c>
      <c r="Q134" s="17">
        <f t="shared" si="16"/>
        <v>208930909</v>
      </c>
      <c r="R134" s="17">
        <f t="shared" si="17"/>
        <v>25545</v>
      </c>
      <c r="S134" s="17">
        <f t="shared" si="18"/>
        <v>63909132</v>
      </c>
      <c r="T134" s="17">
        <f t="shared" si="19"/>
        <v>150155104</v>
      </c>
      <c r="U134" s="17">
        <f t="shared" si="20"/>
        <v>150</v>
      </c>
      <c r="V134" s="17">
        <f t="shared" si="14"/>
        <v>132</v>
      </c>
      <c r="W134" s="17" t="str">
        <f t="shared" si="15"/>
        <v>BOL Platz 10 Rang 0</v>
      </c>
    </row>
    <row r="135" spans="1:23" x14ac:dyDescent="0.35">
      <c r="A135" s="17"/>
      <c r="B135" s="17"/>
      <c r="C135" s="16"/>
      <c r="D135" s="18">
        <v>11</v>
      </c>
      <c r="E135" s="18" t="s">
        <v>235</v>
      </c>
      <c r="F135" s="18">
        <v>22</v>
      </c>
      <c r="G135" s="18">
        <v>5</v>
      </c>
      <c r="H135" s="18">
        <v>1</v>
      </c>
      <c r="I135" s="18">
        <v>16</v>
      </c>
      <c r="J135" s="18">
        <v>558</v>
      </c>
      <c r="K135" s="18" t="s">
        <v>20</v>
      </c>
      <c r="L135" s="19">
        <v>634</v>
      </c>
      <c r="M135" s="18">
        <v>11</v>
      </c>
      <c r="N135" s="18" t="s">
        <v>20</v>
      </c>
      <c r="O135" s="19">
        <v>33</v>
      </c>
      <c r="P135" s="17">
        <v>8</v>
      </c>
      <c r="Q135" s="17">
        <f t="shared" si="16"/>
        <v>208820000</v>
      </c>
      <c r="R135" s="17">
        <f t="shared" si="17"/>
        <v>25363</v>
      </c>
      <c r="S135" s="17">
        <f t="shared" si="18"/>
        <v>62090133</v>
      </c>
      <c r="T135" s="17">
        <f t="shared" si="19"/>
        <v>161157119</v>
      </c>
      <c r="U135" s="17">
        <f t="shared" si="20"/>
        <v>161</v>
      </c>
      <c r="V135" s="17">
        <f t="shared" si="14"/>
        <v>133</v>
      </c>
      <c r="W135" s="17" t="str">
        <f t="shared" si="15"/>
        <v>BOL Platz 11 Rang 3</v>
      </c>
    </row>
    <row r="136" spans="1:23" x14ac:dyDescent="0.35">
      <c r="A136" s="17"/>
      <c r="B136" s="17"/>
      <c r="C136" s="16"/>
      <c r="D136" s="18">
        <v>12</v>
      </c>
      <c r="E136" s="18" t="s">
        <v>236</v>
      </c>
      <c r="F136" s="18">
        <v>22</v>
      </c>
      <c r="G136" s="18">
        <v>0</v>
      </c>
      <c r="H136" s="18">
        <v>0</v>
      </c>
      <c r="I136" s="18">
        <v>22</v>
      </c>
      <c r="J136" s="18">
        <v>472</v>
      </c>
      <c r="K136" s="18" t="s">
        <v>20</v>
      </c>
      <c r="L136" s="19">
        <v>725</v>
      </c>
      <c r="M136" s="18">
        <v>0</v>
      </c>
      <c r="N136" s="18" t="s">
        <v>20</v>
      </c>
      <c r="O136" s="19">
        <v>44</v>
      </c>
      <c r="P136" s="17">
        <v>8</v>
      </c>
      <c r="Q136" s="17">
        <f t="shared" si="16"/>
        <v>208700000</v>
      </c>
      <c r="R136" s="17">
        <f t="shared" si="17"/>
        <v>21454</v>
      </c>
      <c r="S136" s="17">
        <f t="shared" si="18"/>
        <v>57954134</v>
      </c>
      <c r="T136" s="17">
        <f t="shared" si="19"/>
        <v>168169151</v>
      </c>
      <c r="U136" s="17">
        <f t="shared" si="20"/>
        <v>168</v>
      </c>
      <c r="V136" s="17">
        <f t="shared" si="14"/>
        <v>134</v>
      </c>
      <c r="W136" s="17" t="str">
        <f t="shared" si="15"/>
        <v>BOL Platz 12 Rang 2</v>
      </c>
    </row>
    <row r="137" spans="1:23" x14ac:dyDescent="0.35">
      <c r="A137" s="17"/>
      <c r="B137" s="17"/>
      <c r="C137" s="16" t="s">
        <v>518</v>
      </c>
      <c r="D137" s="18">
        <v>1</v>
      </c>
      <c r="E137" s="18" t="s">
        <v>237</v>
      </c>
      <c r="F137" s="18">
        <v>22</v>
      </c>
      <c r="G137" s="18">
        <v>19</v>
      </c>
      <c r="H137" s="18">
        <v>0</v>
      </c>
      <c r="I137" s="18">
        <v>3</v>
      </c>
      <c r="J137" s="18">
        <v>667</v>
      </c>
      <c r="K137" s="18" t="s">
        <v>20</v>
      </c>
      <c r="L137" s="19">
        <v>530</v>
      </c>
      <c r="M137" s="18">
        <v>38</v>
      </c>
      <c r="N137" s="18" t="s">
        <v>20</v>
      </c>
      <c r="O137" s="19">
        <v>6</v>
      </c>
      <c r="P137" s="17">
        <v>8</v>
      </c>
      <c r="Q137" s="17">
        <f t="shared" si="16"/>
        <v>209869090</v>
      </c>
      <c r="R137" s="17">
        <f t="shared" si="17"/>
        <v>30318</v>
      </c>
      <c r="S137" s="17">
        <f t="shared" si="18"/>
        <v>66818135</v>
      </c>
      <c r="T137" s="17">
        <f t="shared" si="19"/>
        <v>82046086</v>
      </c>
      <c r="U137" s="17">
        <f t="shared" si="20"/>
        <v>83</v>
      </c>
      <c r="V137" s="17">
        <f t="shared" si="14"/>
        <v>135</v>
      </c>
      <c r="W137" s="17" t="str">
        <f t="shared" si="15"/>
        <v>BOL Platz 1 Rang 5</v>
      </c>
    </row>
    <row r="138" spans="1:23" x14ac:dyDescent="0.35">
      <c r="A138" s="17"/>
      <c r="B138" s="17"/>
      <c r="C138" s="16"/>
      <c r="D138" s="18">
        <v>2</v>
      </c>
      <c r="E138" s="18" t="s">
        <v>239</v>
      </c>
      <c r="F138" s="18">
        <v>22</v>
      </c>
      <c r="G138" s="18">
        <v>16</v>
      </c>
      <c r="H138" s="18">
        <v>1</v>
      </c>
      <c r="I138" s="18">
        <v>5</v>
      </c>
      <c r="J138" s="18">
        <v>623</v>
      </c>
      <c r="K138" s="18" t="s">
        <v>20</v>
      </c>
      <c r="L138" s="19">
        <v>555</v>
      </c>
      <c r="M138" s="18">
        <v>33</v>
      </c>
      <c r="N138" s="18" t="s">
        <v>20</v>
      </c>
      <c r="O138" s="19">
        <v>11</v>
      </c>
      <c r="P138" s="17">
        <v>8</v>
      </c>
      <c r="Q138" s="17">
        <f t="shared" si="16"/>
        <v>209760000</v>
      </c>
      <c r="R138" s="17">
        <f t="shared" si="17"/>
        <v>28318</v>
      </c>
      <c r="S138" s="17">
        <f t="shared" si="18"/>
        <v>65681136</v>
      </c>
      <c r="T138" s="17">
        <f t="shared" si="19"/>
        <v>89100094</v>
      </c>
      <c r="U138" s="17">
        <f t="shared" si="20"/>
        <v>89</v>
      </c>
      <c r="V138" s="17">
        <f t="shared" si="14"/>
        <v>136</v>
      </c>
      <c r="W138" s="17" t="str">
        <f t="shared" si="15"/>
        <v>BOL Platz 2 Rang 3</v>
      </c>
    </row>
    <row r="139" spans="1:23" x14ac:dyDescent="0.35">
      <c r="A139" s="17"/>
      <c r="B139" s="17"/>
      <c r="C139" s="16"/>
      <c r="D139" s="18">
        <v>3</v>
      </c>
      <c r="E139" s="18" t="s">
        <v>178</v>
      </c>
      <c r="F139" s="18">
        <v>22</v>
      </c>
      <c r="G139" s="18">
        <v>13</v>
      </c>
      <c r="H139" s="18">
        <v>1</v>
      </c>
      <c r="I139" s="18">
        <v>8</v>
      </c>
      <c r="J139" s="18">
        <v>656</v>
      </c>
      <c r="K139" s="18" t="s">
        <v>20</v>
      </c>
      <c r="L139" s="19">
        <v>609</v>
      </c>
      <c r="M139" s="18">
        <v>27</v>
      </c>
      <c r="N139" s="18" t="s">
        <v>20</v>
      </c>
      <c r="O139" s="19">
        <v>17</v>
      </c>
      <c r="P139" s="17">
        <v>8</v>
      </c>
      <c r="Q139" s="17">
        <f t="shared" si="16"/>
        <v>209649090</v>
      </c>
      <c r="R139" s="17">
        <f t="shared" si="17"/>
        <v>29818</v>
      </c>
      <c r="S139" s="17">
        <f t="shared" si="18"/>
        <v>63227137</v>
      </c>
      <c r="T139" s="17">
        <f t="shared" si="19"/>
        <v>100057106</v>
      </c>
      <c r="U139" s="17">
        <f t="shared" si="20"/>
        <v>100</v>
      </c>
      <c r="V139" s="17">
        <f t="shared" si="14"/>
        <v>137</v>
      </c>
      <c r="W139" s="17" t="str">
        <f t="shared" si="15"/>
        <v>BOL Platz 3 Rang 6</v>
      </c>
    </row>
    <row r="140" spans="1:23" x14ac:dyDescent="0.35">
      <c r="A140" s="17"/>
      <c r="B140" s="17"/>
      <c r="C140" s="16"/>
      <c r="D140" s="18">
        <v>4</v>
      </c>
      <c r="E140" s="18" t="s">
        <v>238</v>
      </c>
      <c r="F140" s="18">
        <v>22</v>
      </c>
      <c r="G140" s="18">
        <v>13</v>
      </c>
      <c r="H140" s="18">
        <v>0</v>
      </c>
      <c r="I140" s="18">
        <v>9</v>
      </c>
      <c r="J140" s="18">
        <v>556</v>
      </c>
      <c r="K140" s="18" t="s">
        <v>20</v>
      </c>
      <c r="L140" s="19">
        <v>535</v>
      </c>
      <c r="M140" s="18">
        <v>26</v>
      </c>
      <c r="N140" s="18" t="s">
        <v>20</v>
      </c>
      <c r="O140" s="19">
        <v>18</v>
      </c>
      <c r="P140" s="17">
        <v>8</v>
      </c>
      <c r="Q140" s="17">
        <f t="shared" si="16"/>
        <v>209547272</v>
      </c>
      <c r="R140" s="17">
        <f t="shared" si="17"/>
        <v>25272</v>
      </c>
      <c r="S140" s="17">
        <f t="shared" si="18"/>
        <v>66590138</v>
      </c>
      <c r="T140" s="17">
        <f t="shared" si="19"/>
        <v>104159092</v>
      </c>
      <c r="U140" s="17">
        <f t="shared" si="20"/>
        <v>105</v>
      </c>
      <c r="V140" s="17">
        <f t="shared" si="14"/>
        <v>138</v>
      </c>
      <c r="W140" s="17" t="str">
        <f t="shared" si="15"/>
        <v>BOL Platz 4 Rang 3</v>
      </c>
    </row>
    <row r="141" spans="1:23" x14ac:dyDescent="0.35">
      <c r="A141" s="17"/>
      <c r="B141" s="17"/>
      <c r="C141" s="16"/>
      <c r="D141" s="18">
        <v>5</v>
      </c>
      <c r="E141" s="18" t="s">
        <v>240</v>
      </c>
      <c r="F141" s="18">
        <v>22</v>
      </c>
      <c r="G141" s="18">
        <v>11</v>
      </c>
      <c r="H141" s="18">
        <v>1</v>
      </c>
      <c r="I141" s="18">
        <v>10</v>
      </c>
      <c r="J141" s="18">
        <v>648</v>
      </c>
      <c r="K141" s="18" t="s">
        <v>20</v>
      </c>
      <c r="L141" s="19">
        <v>636</v>
      </c>
      <c r="M141" s="18">
        <v>23</v>
      </c>
      <c r="N141" s="18" t="s">
        <v>20</v>
      </c>
      <c r="O141" s="19">
        <v>21</v>
      </c>
      <c r="P141" s="17">
        <v>8</v>
      </c>
      <c r="Q141" s="17">
        <f t="shared" si="16"/>
        <v>209441818</v>
      </c>
      <c r="R141" s="17">
        <f t="shared" si="17"/>
        <v>29454</v>
      </c>
      <c r="S141" s="17">
        <f t="shared" si="18"/>
        <v>62000139</v>
      </c>
      <c r="T141" s="17">
        <f t="shared" si="19"/>
        <v>116068122</v>
      </c>
      <c r="U141" s="17">
        <f t="shared" si="20"/>
        <v>116</v>
      </c>
      <c r="V141" s="17">
        <f t="shared" si="14"/>
        <v>139</v>
      </c>
      <c r="W141" s="17" t="str">
        <f t="shared" si="15"/>
        <v>BOL Platz 5 Rang 6</v>
      </c>
    </row>
    <row r="142" spans="1:23" x14ac:dyDescent="0.35">
      <c r="A142" s="17"/>
      <c r="B142" s="17"/>
      <c r="C142" s="16"/>
      <c r="D142" s="18">
        <v>6</v>
      </c>
      <c r="E142" s="18" t="s">
        <v>246</v>
      </c>
      <c r="F142" s="18">
        <v>22</v>
      </c>
      <c r="G142" s="18">
        <v>11</v>
      </c>
      <c r="H142" s="18">
        <v>0</v>
      </c>
      <c r="I142" s="18">
        <v>11</v>
      </c>
      <c r="J142" s="18">
        <v>617</v>
      </c>
      <c r="K142" s="18" t="s">
        <v>20</v>
      </c>
      <c r="L142" s="19">
        <v>625</v>
      </c>
      <c r="M142" s="18">
        <v>22</v>
      </c>
      <c r="N142" s="18" t="s">
        <v>20</v>
      </c>
      <c r="O142" s="19">
        <v>22</v>
      </c>
      <c r="P142" s="17">
        <v>8</v>
      </c>
      <c r="Q142" s="17">
        <f t="shared" si="16"/>
        <v>209340000</v>
      </c>
      <c r="R142" s="17">
        <f t="shared" si="17"/>
        <v>28045</v>
      </c>
      <c r="S142" s="17">
        <f t="shared" si="18"/>
        <v>62500140</v>
      </c>
      <c r="T142" s="17">
        <f t="shared" si="19"/>
        <v>119109114</v>
      </c>
      <c r="U142" s="17">
        <f t="shared" si="20"/>
        <v>120</v>
      </c>
      <c r="V142" s="17">
        <f t="shared" si="14"/>
        <v>140</v>
      </c>
      <c r="W142" s="17" t="str">
        <f t="shared" si="15"/>
        <v>BOL Platz 6 Rang 2</v>
      </c>
    </row>
    <row r="143" spans="1:23" x14ac:dyDescent="0.35">
      <c r="A143" s="17"/>
      <c r="B143" s="17"/>
      <c r="C143" s="16"/>
      <c r="D143" s="18">
        <v>7</v>
      </c>
      <c r="E143" s="18" t="s">
        <v>242</v>
      </c>
      <c r="F143" s="18">
        <v>22</v>
      </c>
      <c r="G143" s="18">
        <v>10</v>
      </c>
      <c r="H143" s="18">
        <v>1</v>
      </c>
      <c r="I143" s="18">
        <v>11</v>
      </c>
      <c r="J143" s="18">
        <v>652</v>
      </c>
      <c r="K143" s="18" t="s">
        <v>20</v>
      </c>
      <c r="L143" s="19">
        <v>613</v>
      </c>
      <c r="M143" s="18">
        <v>21</v>
      </c>
      <c r="N143" s="18" t="s">
        <v>20</v>
      </c>
      <c r="O143" s="19">
        <v>23</v>
      </c>
      <c r="P143" s="17">
        <v>8</v>
      </c>
      <c r="Q143" s="17">
        <f t="shared" si="16"/>
        <v>209238181</v>
      </c>
      <c r="R143" s="17">
        <f t="shared" si="17"/>
        <v>29636</v>
      </c>
      <c r="S143" s="17">
        <f t="shared" si="18"/>
        <v>63045141</v>
      </c>
      <c r="T143" s="17">
        <f t="shared" si="19"/>
        <v>126064110</v>
      </c>
      <c r="U143" s="17">
        <f t="shared" si="20"/>
        <v>126</v>
      </c>
      <c r="V143" s="17">
        <f t="shared" si="14"/>
        <v>141</v>
      </c>
      <c r="W143" s="17" t="str">
        <f t="shared" si="15"/>
        <v>BOL Platz 7 Rang 0</v>
      </c>
    </row>
    <row r="144" spans="1:23" x14ac:dyDescent="0.35">
      <c r="A144" s="17"/>
      <c r="B144" s="17"/>
      <c r="C144" s="16"/>
      <c r="D144" s="18">
        <v>8</v>
      </c>
      <c r="E144" s="18" t="s">
        <v>245</v>
      </c>
      <c r="F144" s="18">
        <v>22</v>
      </c>
      <c r="G144" s="18">
        <v>9</v>
      </c>
      <c r="H144" s="18">
        <v>0</v>
      </c>
      <c r="I144" s="18">
        <v>13</v>
      </c>
      <c r="J144" s="18">
        <v>572</v>
      </c>
      <c r="K144" s="18" t="s">
        <v>20</v>
      </c>
      <c r="L144" s="19">
        <v>612</v>
      </c>
      <c r="M144" s="18">
        <v>18</v>
      </c>
      <c r="N144" s="18" t="s">
        <v>20</v>
      </c>
      <c r="O144" s="19">
        <v>26</v>
      </c>
      <c r="P144" s="17">
        <v>8</v>
      </c>
      <c r="Q144" s="17">
        <f t="shared" si="16"/>
        <v>209132727</v>
      </c>
      <c r="R144" s="17">
        <f t="shared" si="17"/>
        <v>26000</v>
      </c>
      <c r="S144" s="17">
        <f t="shared" si="18"/>
        <v>63090142</v>
      </c>
      <c r="T144" s="17">
        <f t="shared" si="19"/>
        <v>135151109</v>
      </c>
      <c r="U144" s="17">
        <f t="shared" si="20"/>
        <v>135</v>
      </c>
      <c r="V144" s="17">
        <f t="shared" si="14"/>
        <v>142</v>
      </c>
      <c r="W144" s="17" t="str">
        <f t="shared" si="15"/>
        <v>BOL Platz 8 Rang 1</v>
      </c>
    </row>
    <row r="145" spans="1:23" x14ac:dyDescent="0.35">
      <c r="A145" s="17"/>
      <c r="B145" s="17"/>
      <c r="C145" s="16"/>
      <c r="D145" s="18">
        <v>9</v>
      </c>
      <c r="E145" s="18" t="s">
        <v>241</v>
      </c>
      <c r="F145" s="18">
        <v>22</v>
      </c>
      <c r="G145" s="18">
        <v>8</v>
      </c>
      <c r="H145" s="18">
        <v>1</v>
      </c>
      <c r="I145" s="18">
        <v>13</v>
      </c>
      <c r="J145" s="18">
        <v>588</v>
      </c>
      <c r="K145" s="18" t="s">
        <v>20</v>
      </c>
      <c r="L145" s="19">
        <v>610</v>
      </c>
      <c r="M145" s="18">
        <v>17</v>
      </c>
      <c r="N145" s="18" t="s">
        <v>20</v>
      </c>
      <c r="O145" s="19">
        <v>27</v>
      </c>
      <c r="P145" s="17">
        <v>8</v>
      </c>
      <c r="Q145" s="17">
        <f t="shared" si="16"/>
        <v>209030909</v>
      </c>
      <c r="R145" s="17">
        <f t="shared" si="17"/>
        <v>26727</v>
      </c>
      <c r="S145" s="17">
        <f t="shared" si="18"/>
        <v>63181143</v>
      </c>
      <c r="T145" s="17">
        <f t="shared" si="19"/>
        <v>143138108</v>
      </c>
      <c r="U145" s="17">
        <f t="shared" si="20"/>
        <v>143</v>
      </c>
      <c r="V145" s="17">
        <f t="shared" ref="V145:V171" si="21">+V144+1</f>
        <v>143</v>
      </c>
      <c r="W145" s="17" t="str">
        <f t="shared" si="15"/>
        <v>BOL Platz 9 Rang 1</v>
      </c>
    </row>
    <row r="146" spans="1:23" x14ac:dyDescent="0.35">
      <c r="A146" s="17"/>
      <c r="B146" s="17"/>
      <c r="C146" s="16"/>
      <c r="D146" s="18">
        <v>10</v>
      </c>
      <c r="E146" s="18" t="s">
        <v>243</v>
      </c>
      <c r="F146" s="18">
        <v>22</v>
      </c>
      <c r="G146" s="18">
        <v>8</v>
      </c>
      <c r="H146" s="18">
        <v>0</v>
      </c>
      <c r="I146" s="18">
        <v>14</v>
      </c>
      <c r="J146" s="18">
        <v>583</v>
      </c>
      <c r="K146" s="18" t="s">
        <v>20</v>
      </c>
      <c r="L146" s="19">
        <v>625</v>
      </c>
      <c r="M146" s="18">
        <v>16</v>
      </c>
      <c r="N146" s="18" t="s">
        <v>20</v>
      </c>
      <c r="O146" s="19">
        <v>28</v>
      </c>
      <c r="P146" s="17">
        <v>8</v>
      </c>
      <c r="Q146" s="17">
        <f t="shared" si="16"/>
        <v>208929090</v>
      </c>
      <c r="R146" s="17">
        <f t="shared" si="17"/>
        <v>26500</v>
      </c>
      <c r="S146" s="17">
        <f t="shared" si="18"/>
        <v>62500144</v>
      </c>
      <c r="T146" s="17">
        <f t="shared" si="19"/>
        <v>152140113</v>
      </c>
      <c r="U146" s="17">
        <f t="shared" si="20"/>
        <v>152</v>
      </c>
      <c r="V146" s="17">
        <f t="shared" si="21"/>
        <v>144</v>
      </c>
      <c r="W146" s="17" t="str">
        <f t="shared" ref="W146:W171" si="22">"BOL Platz "&amp;D146&amp;" Rang "&amp;(U146-70-8*D146)</f>
        <v>BOL Platz 10 Rang 2</v>
      </c>
    </row>
    <row r="147" spans="1:23" x14ac:dyDescent="0.35">
      <c r="A147" s="17"/>
      <c r="B147" s="17"/>
      <c r="C147" s="16"/>
      <c r="D147" s="18">
        <v>11</v>
      </c>
      <c r="E147" s="18" t="s">
        <v>244</v>
      </c>
      <c r="F147" s="18">
        <v>22</v>
      </c>
      <c r="G147" s="18">
        <v>8</v>
      </c>
      <c r="H147" s="18">
        <v>0</v>
      </c>
      <c r="I147" s="18">
        <v>14</v>
      </c>
      <c r="J147" s="18">
        <v>641</v>
      </c>
      <c r="K147" s="18" t="s">
        <v>20</v>
      </c>
      <c r="L147" s="19">
        <v>683</v>
      </c>
      <c r="M147" s="18">
        <v>16</v>
      </c>
      <c r="N147" s="18" t="s">
        <v>20</v>
      </c>
      <c r="O147" s="19">
        <v>28</v>
      </c>
      <c r="P147" s="17">
        <v>8</v>
      </c>
      <c r="Q147" s="17">
        <f t="shared" si="16"/>
        <v>208829090</v>
      </c>
      <c r="R147" s="17">
        <f t="shared" si="17"/>
        <v>29136</v>
      </c>
      <c r="S147" s="17">
        <f t="shared" si="18"/>
        <v>59863145</v>
      </c>
      <c r="T147" s="17">
        <f t="shared" si="19"/>
        <v>158079140</v>
      </c>
      <c r="U147" s="17">
        <f t="shared" si="20"/>
        <v>158</v>
      </c>
      <c r="V147" s="17">
        <f t="shared" si="21"/>
        <v>145</v>
      </c>
      <c r="W147" s="17" t="str">
        <f t="shared" si="22"/>
        <v>BOL Platz 11 Rang 0</v>
      </c>
    </row>
    <row r="148" spans="1:23" x14ac:dyDescent="0.35">
      <c r="A148" s="17"/>
      <c r="B148" s="17"/>
      <c r="C148" s="16"/>
      <c r="D148" s="18">
        <v>12</v>
      </c>
      <c r="E148" s="18" t="s">
        <v>247</v>
      </c>
      <c r="F148" s="18">
        <v>22</v>
      </c>
      <c r="G148" s="18">
        <v>3</v>
      </c>
      <c r="H148" s="18">
        <v>1</v>
      </c>
      <c r="I148" s="18">
        <v>18</v>
      </c>
      <c r="J148" s="18">
        <v>566</v>
      </c>
      <c r="K148" s="18" t="s">
        <v>20</v>
      </c>
      <c r="L148" s="19">
        <v>736</v>
      </c>
      <c r="M148" s="18">
        <v>7</v>
      </c>
      <c r="N148" s="18" t="s">
        <v>20</v>
      </c>
      <c r="O148" s="19">
        <v>37</v>
      </c>
      <c r="P148" s="17">
        <v>8</v>
      </c>
      <c r="Q148" s="17">
        <f t="shared" si="16"/>
        <v>208712727</v>
      </c>
      <c r="R148" s="17">
        <f t="shared" si="17"/>
        <v>25727</v>
      </c>
      <c r="S148" s="17">
        <f t="shared" si="18"/>
        <v>57454146</v>
      </c>
      <c r="T148" s="17">
        <f t="shared" si="19"/>
        <v>166153152</v>
      </c>
      <c r="U148" s="17">
        <f t="shared" si="20"/>
        <v>166</v>
      </c>
      <c r="V148" s="17">
        <f t="shared" si="21"/>
        <v>146</v>
      </c>
      <c r="W148" s="17" t="str">
        <f t="shared" si="22"/>
        <v>BOL Platz 12 Rang 0</v>
      </c>
    </row>
    <row r="149" spans="1:23" x14ac:dyDescent="0.35">
      <c r="A149" s="17"/>
      <c r="B149" s="17"/>
      <c r="C149" s="16" t="s">
        <v>519</v>
      </c>
      <c r="D149" s="18">
        <v>1</v>
      </c>
      <c r="E149" s="18" t="s">
        <v>248</v>
      </c>
      <c r="F149" s="18">
        <v>22</v>
      </c>
      <c r="G149" s="18">
        <v>20</v>
      </c>
      <c r="H149" s="18">
        <v>0</v>
      </c>
      <c r="I149" s="18">
        <v>2</v>
      </c>
      <c r="J149" s="18">
        <v>661</v>
      </c>
      <c r="K149" s="18" t="s">
        <v>20</v>
      </c>
      <c r="L149" s="19">
        <v>543</v>
      </c>
      <c r="M149" s="18">
        <v>40</v>
      </c>
      <c r="N149" s="18" t="s">
        <v>20</v>
      </c>
      <c r="O149" s="19">
        <v>4</v>
      </c>
      <c r="P149" s="17">
        <v>8</v>
      </c>
      <c r="Q149" s="17">
        <f t="shared" si="16"/>
        <v>209872727</v>
      </c>
      <c r="R149" s="17">
        <f t="shared" si="17"/>
        <v>30045</v>
      </c>
      <c r="S149" s="17">
        <f t="shared" si="18"/>
        <v>66227147</v>
      </c>
      <c r="T149" s="17">
        <f t="shared" si="19"/>
        <v>81052093</v>
      </c>
      <c r="U149" s="17">
        <f t="shared" si="20"/>
        <v>81</v>
      </c>
      <c r="V149" s="17">
        <f t="shared" si="21"/>
        <v>147</v>
      </c>
      <c r="W149" s="17" t="str">
        <f t="shared" si="22"/>
        <v>BOL Platz 1 Rang 3</v>
      </c>
    </row>
    <row r="150" spans="1:23" x14ac:dyDescent="0.35">
      <c r="A150" s="17"/>
      <c r="B150" s="17"/>
      <c r="C150" s="16"/>
      <c r="D150" s="18">
        <v>2</v>
      </c>
      <c r="E150" s="18" t="s">
        <v>250</v>
      </c>
      <c r="F150" s="18">
        <v>22</v>
      </c>
      <c r="G150" s="18">
        <v>17</v>
      </c>
      <c r="H150" s="18">
        <v>1</v>
      </c>
      <c r="I150" s="18">
        <v>4</v>
      </c>
      <c r="J150" s="18">
        <v>673</v>
      </c>
      <c r="K150" s="18" t="s">
        <v>20</v>
      </c>
      <c r="L150" s="19">
        <v>491</v>
      </c>
      <c r="M150" s="18">
        <v>35</v>
      </c>
      <c r="N150" s="18" t="s">
        <v>20</v>
      </c>
      <c r="O150" s="19">
        <v>9</v>
      </c>
      <c r="P150" s="17">
        <v>8</v>
      </c>
      <c r="Q150" s="17">
        <f t="shared" si="16"/>
        <v>209763636</v>
      </c>
      <c r="R150" s="17">
        <f t="shared" si="17"/>
        <v>30590</v>
      </c>
      <c r="S150" s="17">
        <f t="shared" si="18"/>
        <v>68590148</v>
      </c>
      <c r="T150" s="17">
        <f t="shared" si="19"/>
        <v>88037082</v>
      </c>
      <c r="U150" s="17">
        <f t="shared" si="20"/>
        <v>88</v>
      </c>
      <c r="V150" s="17">
        <f t="shared" si="21"/>
        <v>148</v>
      </c>
      <c r="W150" s="17" t="str">
        <f t="shared" si="22"/>
        <v>BOL Platz 2 Rang 2</v>
      </c>
    </row>
    <row r="151" spans="1:23" x14ac:dyDescent="0.35">
      <c r="A151" s="17"/>
      <c r="B151" s="17"/>
      <c r="C151" s="16"/>
      <c r="D151" s="18">
        <v>3</v>
      </c>
      <c r="E151" s="18" t="s">
        <v>249</v>
      </c>
      <c r="F151" s="18">
        <v>22</v>
      </c>
      <c r="G151" s="18">
        <v>17</v>
      </c>
      <c r="H151" s="18">
        <v>0</v>
      </c>
      <c r="I151" s="18">
        <v>5</v>
      </c>
      <c r="J151" s="18">
        <v>699</v>
      </c>
      <c r="K151" s="18" t="s">
        <v>20</v>
      </c>
      <c r="L151" s="19">
        <v>594</v>
      </c>
      <c r="M151" s="18">
        <v>34</v>
      </c>
      <c r="N151" s="18" t="s">
        <v>20</v>
      </c>
      <c r="O151" s="19">
        <v>10</v>
      </c>
      <c r="P151" s="17">
        <v>8</v>
      </c>
      <c r="Q151" s="17">
        <f t="shared" si="16"/>
        <v>209661818</v>
      </c>
      <c r="R151" s="17">
        <f t="shared" si="17"/>
        <v>31772</v>
      </c>
      <c r="S151" s="17">
        <f t="shared" si="18"/>
        <v>63909149</v>
      </c>
      <c r="T151" s="17">
        <f t="shared" si="19"/>
        <v>95020103</v>
      </c>
      <c r="U151" s="17">
        <f t="shared" si="20"/>
        <v>95</v>
      </c>
      <c r="V151" s="17">
        <f t="shared" si="21"/>
        <v>149</v>
      </c>
      <c r="W151" s="17" t="str">
        <f t="shared" si="22"/>
        <v>BOL Platz 3 Rang 1</v>
      </c>
    </row>
    <row r="152" spans="1:23" x14ac:dyDescent="0.35">
      <c r="A152" s="17"/>
      <c r="B152" s="17"/>
      <c r="C152" s="16"/>
      <c r="D152" s="18">
        <v>4</v>
      </c>
      <c r="E152" s="18" t="s">
        <v>179</v>
      </c>
      <c r="F152" s="18">
        <v>22</v>
      </c>
      <c r="G152" s="18">
        <v>12</v>
      </c>
      <c r="H152" s="18">
        <v>1</v>
      </c>
      <c r="I152" s="18">
        <v>9</v>
      </c>
      <c r="J152" s="18">
        <v>674</v>
      </c>
      <c r="K152" s="18" t="s">
        <v>20</v>
      </c>
      <c r="L152" s="19">
        <v>631</v>
      </c>
      <c r="M152" s="18">
        <v>25</v>
      </c>
      <c r="N152" s="18" t="s">
        <v>20</v>
      </c>
      <c r="O152" s="19">
        <v>19</v>
      </c>
      <c r="P152" s="17">
        <v>8</v>
      </c>
      <c r="Q152" s="17">
        <f t="shared" si="16"/>
        <v>209545454</v>
      </c>
      <c r="R152" s="17">
        <f t="shared" si="17"/>
        <v>30636</v>
      </c>
      <c r="S152" s="17">
        <f t="shared" si="18"/>
        <v>62227150</v>
      </c>
      <c r="T152" s="17">
        <f t="shared" si="19"/>
        <v>107036117</v>
      </c>
      <c r="U152" s="17">
        <f t="shared" si="20"/>
        <v>107</v>
      </c>
      <c r="V152" s="17">
        <f t="shared" si="21"/>
        <v>150</v>
      </c>
      <c r="W152" s="17" t="str">
        <f t="shared" si="22"/>
        <v>BOL Platz 4 Rang 5</v>
      </c>
    </row>
    <row r="153" spans="1:23" x14ac:dyDescent="0.35">
      <c r="A153" s="17"/>
      <c r="B153" s="17"/>
      <c r="C153" s="16"/>
      <c r="D153" s="18">
        <v>5</v>
      </c>
      <c r="E153" s="18" t="s">
        <v>252</v>
      </c>
      <c r="F153" s="18">
        <v>22</v>
      </c>
      <c r="G153" s="18">
        <v>12</v>
      </c>
      <c r="H153" s="18">
        <v>1</v>
      </c>
      <c r="I153" s="18">
        <v>9</v>
      </c>
      <c r="J153" s="18">
        <v>720</v>
      </c>
      <c r="K153" s="18" t="s">
        <v>20</v>
      </c>
      <c r="L153" s="19">
        <v>650</v>
      </c>
      <c r="M153" s="18">
        <v>25</v>
      </c>
      <c r="N153" s="18" t="s">
        <v>20</v>
      </c>
      <c r="O153" s="19">
        <v>19</v>
      </c>
      <c r="P153" s="17">
        <v>8</v>
      </c>
      <c r="Q153" s="17">
        <f t="shared" si="16"/>
        <v>209445454</v>
      </c>
      <c r="R153" s="17">
        <f t="shared" si="17"/>
        <v>32727</v>
      </c>
      <c r="S153" s="17">
        <f t="shared" si="18"/>
        <v>61363151</v>
      </c>
      <c r="T153" s="17">
        <f t="shared" si="19"/>
        <v>111011127</v>
      </c>
      <c r="U153" s="17">
        <f t="shared" si="20"/>
        <v>111</v>
      </c>
      <c r="V153" s="17">
        <f t="shared" si="21"/>
        <v>151</v>
      </c>
      <c r="W153" s="17" t="str">
        <f t="shared" si="22"/>
        <v>BOL Platz 5 Rang 1</v>
      </c>
    </row>
    <row r="154" spans="1:23" x14ac:dyDescent="0.35">
      <c r="A154" s="17"/>
      <c r="B154" s="17"/>
      <c r="C154" s="16"/>
      <c r="D154" s="18">
        <v>6</v>
      </c>
      <c r="E154" s="18" t="s">
        <v>182</v>
      </c>
      <c r="F154" s="18">
        <v>22</v>
      </c>
      <c r="G154" s="18">
        <v>9</v>
      </c>
      <c r="H154" s="18">
        <v>1</v>
      </c>
      <c r="I154" s="18">
        <v>12</v>
      </c>
      <c r="J154" s="18">
        <v>593</v>
      </c>
      <c r="K154" s="18" t="s">
        <v>20</v>
      </c>
      <c r="L154" s="19">
        <v>631</v>
      </c>
      <c r="M154" s="18">
        <v>19</v>
      </c>
      <c r="N154" s="18" t="s">
        <v>20</v>
      </c>
      <c r="O154" s="19">
        <v>25</v>
      </c>
      <c r="P154" s="17">
        <v>8</v>
      </c>
      <c r="Q154" s="17">
        <f t="shared" si="16"/>
        <v>209334545</v>
      </c>
      <c r="R154" s="17">
        <f t="shared" si="17"/>
        <v>26954</v>
      </c>
      <c r="S154" s="17">
        <f t="shared" si="18"/>
        <v>62227152</v>
      </c>
      <c r="T154" s="17">
        <f t="shared" si="19"/>
        <v>125132116</v>
      </c>
      <c r="U154" s="17">
        <f t="shared" si="20"/>
        <v>125</v>
      </c>
      <c r="V154" s="17">
        <f t="shared" si="21"/>
        <v>152</v>
      </c>
      <c r="W154" s="17" t="str">
        <f t="shared" si="22"/>
        <v>BOL Platz 6 Rang 7</v>
      </c>
    </row>
    <row r="155" spans="1:23" x14ac:dyDescent="0.35">
      <c r="A155" s="17"/>
      <c r="B155" s="17"/>
      <c r="C155" s="16"/>
      <c r="D155" s="18">
        <v>7</v>
      </c>
      <c r="E155" s="18" t="s">
        <v>253</v>
      </c>
      <c r="F155" s="18">
        <v>22</v>
      </c>
      <c r="G155" s="18">
        <v>8</v>
      </c>
      <c r="H155" s="18">
        <v>1</v>
      </c>
      <c r="I155" s="18">
        <v>13</v>
      </c>
      <c r="J155" s="18">
        <v>569</v>
      </c>
      <c r="K155" s="18" t="s">
        <v>20</v>
      </c>
      <c r="L155" s="19">
        <v>593</v>
      </c>
      <c r="M155" s="18">
        <v>17</v>
      </c>
      <c r="N155" s="18" t="s">
        <v>20</v>
      </c>
      <c r="O155" s="19">
        <v>27</v>
      </c>
      <c r="P155" s="17">
        <v>8</v>
      </c>
      <c r="Q155" s="17">
        <f t="shared" si="16"/>
        <v>209230909</v>
      </c>
      <c r="R155" s="17">
        <f t="shared" si="17"/>
        <v>25863</v>
      </c>
      <c r="S155" s="17">
        <f t="shared" si="18"/>
        <v>63954153</v>
      </c>
      <c r="T155" s="17">
        <f t="shared" si="19"/>
        <v>133152102</v>
      </c>
      <c r="U155" s="17">
        <f t="shared" si="20"/>
        <v>133</v>
      </c>
      <c r="V155" s="17">
        <f t="shared" si="21"/>
        <v>153</v>
      </c>
      <c r="W155" s="17" t="str">
        <f t="shared" si="22"/>
        <v>BOL Platz 7 Rang 7</v>
      </c>
    </row>
    <row r="156" spans="1:23" x14ac:dyDescent="0.35">
      <c r="A156" s="17"/>
      <c r="B156" s="17"/>
      <c r="C156" s="16"/>
      <c r="D156" s="18">
        <v>8</v>
      </c>
      <c r="E156" s="18" t="s">
        <v>195</v>
      </c>
      <c r="F156" s="18">
        <v>22</v>
      </c>
      <c r="G156" s="18">
        <v>8</v>
      </c>
      <c r="H156" s="18">
        <v>1</v>
      </c>
      <c r="I156" s="18">
        <v>13</v>
      </c>
      <c r="J156" s="18">
        <v>607</v>
      </c>
      <c r="K156" s="18" t="s">
        <v>20</v>
      </c>
      <c r="L156" s="19">
        <v>675</v>
      </c>
      <c r="M156" s="18">
        <v>17</v>
      </c>
      <c r="N156" s="18" t="s">
        <v>20</v>
      </c>
      <c r="O156" s="19">
        <v>27</v>
      </c>
      <c r="P156" s="17">
        <v>8</v>
      </c>
      <c r="Q156" s="17">
        <f t="shared" si="16"/>
        <v>209130909</v>
      </c>
      <c r="R156" s="17">
        <f t="shared" si="17"/>
        <v>27590</v>
      </c>
      <c r="S156" s="17">
        <f t="shared" si="18"/>
        <v>60227154</v>
      </c>
      <c r="T156" s="17">
        <f t="shared" si="19"/>
        <v>139120138</v>
      </c>
      <c r="U156" s="17">
        <f t="shared" si="20"/>
        <v>139</v>
      </c>
      <c r="V156" s="17">
        <f t="shared" si="21"/>
        <v>154</v>
      </c>
      <c r="W156" s="17" t="str">
        <f t="shared" si="22"/>
        <v>BOL Platz 8 Rang 5</v>
      </c>
    </row>
    <row r="157" spans="1:23" x14ac:dyDescent="0.35">
      <c r="A157" s="17"/>
      <c r="B157" s="17"/>
      <c r="C157" s="16"/>
      <c r="D157" s="18">
        <v>9</v>
      </c>
      <c r="E157" s="18" t="s">
        <v>251</v>
      </c>
      <c r="F157" s="18">
        <v>22</v>
      </c>
      <c r="G157" s="18">
        <v>8</v>
      </c>
      <c r="H157" s="18">
        <v>0</v>
      </c>
      <c r="I157" s="18">
        <v>14</v>
      </c>
      <c r="J157" s="18">
        <v>579</v>
      </c>
      <c r="K157" s="18" t="s">
        <v>20</v>
      </c>
      <c r="L157" s="19">
        <v>653</v>
      </c>
      <c r="M157" s="18">
        <v>16</v>
      </c>
      <c r="N157" s="18" t="s">
        <v>20</v>
      </c>
      <c r="O157" s="19">
        <v>28</v>
      </c>
      <c r="P157" s="17">
        <v>8</v>
      </c>
      <c r="Q157" s="17">
        <f t="shared" si="16"/>
        <v>209029090</v>
      </c>
      <c r="R157" s="17">
        <f t="shared" si="17"/>
        <v>26318</v>
      </c>
      <c r="S157" s="17">
        <f t="shared" si="18"/>
        <v>61227155</v>
      </c>
      <c r="T157" s="17">
        <f t="shared" si="19"/>
        <v>147144128</v>
      </c>
      <c r="U157" s="17">
        <f t="shared" si="20"/>
        <v>147</v>
      </c>
      <c r="V157" s="17">
        <f t="shared" si="21"/>
        <v>155</v>
      </c>
      <c r="W157" s="17" t="str">
        <f t="shared" si="22"/>
        <v>BOL Platz 9 Rang 5</v>
      </c>
    </row>
    <row r="158" spans="1:23" x14ac:dyDescent="0.35">
      <c r="A158" s="17"/>
      <c r="B158" s="17"/>
      <c r="C158" s="16"/>
      <c r="D158" s="18">
        <v>10</v>
      </c>
      <c r="E158" s="18" t="s">
        <v>254</v>
      </c>
      <c r="F158" s="18">
        <v>22</v>
      </c>
      <c r="G158" s="18">
        <v>7</v>
      </c>
      <c r="H158" s="18">
        <v>1</v>
      </c>
      <c r="I158" s="18">
        <v>14</v>
      </c>
      <c r="J158" s="18">
        <v>573</v>
      </c>
      <c r="K158" s="18" t="s">
        <v>20</v>
      </c>
      <c r="L158" s="19">
        <v>648</v>
      </c>
      <c r="M158" s="18">
        <v>15</v>
      </c>
      <c r="N158" s="18" t="s">
        <v>20</v>
      </c>
      <c r="O158" s="19">
        <v>29</v>
      </c>
      <c r="P158" s="17">
        <v>8</v>
      </c>
      <c r="Q158" s="17">
        <f t="shared" si="16"/>
        <v>208927272</v>
      </c>
      <c r="R158" s="17">
        <f t="shared" si="17"/>
        <v>26045</v>
      </c>
      <c r="S158" s="17">
        <f t="shared" si="18"/>
        <v>61454156</v>
      </c>
      <c r="T158" s="17">
        <f t="shared" si="19"/>
        <v>154150126</v>
      </c>
      <c r="U158" s="17">
        <f t="shared" si="20"/>
        <v>154</v>
      </c>
      <c r="V158" s="17">
        <f t="shared" si="21"/>
        <v>156</v>
      </c>
      <c r="W158" s="17" t="str">
        <f t="shared" si="22"/>
        <v>BOL Platz 10 Rang 4</v>
      </c>
    </row>
    <row r="159" spans="1:23" x14ac:dyDescent="0.35">
      <c r="A159" s="17"/>
      <c r="B159" s="17"/>
      <c r="C159" s="16"/>
      <c r="D159" s="18">
        <v>11</v>
      </c>
      <c r="E159" s="18" t="s">
        <v>181</v>
      </c>
      <c r="F159" s="18">
        <v>22</v>
      </c>
      <c r="G159" s="18">
        <v>6</v>
      </c>
      <c r="H159" s="18">
        <v>1</v>
      </c>
      <c r="I159" s="18">
        <v>15</v>
      </c>
      <c r="J159" s="18">
        <v>557</v>
      </c>
      <c r="K159" s="18" t="s">
        <v>20</v>
      </c>
      <c r="L159" s="19">
        <v>703</v>
      </c>
      <c r="M159" s="18">
        <v>13</v>
      </c>
      <c r="N159" s="18" t="s">
        <v>20</v>
      </c>
      <c r="O159" s="19">
        <v>31</v>
      </c>
      <c r="P159" s="17">
        <v>8</v>
      </c>
      <c r="Q159" s="17">
        <f t="shared" si="16"/>
        <v>208823636</v>
      </c>
      <c r="R159" s="17">
        <f t="shared" si="17"/>
        <v>25318</v>
      </c>
      <c r="S159" s="17">
        <f t="shared" si="18"/>
        <v>58954157</v>
      </c>
      <c r="T159" s="17">
        <f t="shared" si="19"/>
        <v>159158148</v>
      </c>
      <c r="U159" s="17">
        <f t="shared" si="20"/>
        <v>159</v>
      </c>
      <c r="V159" s="17">
        <f t="shared" si="21"/>
        <v>157</v>
      </c>
      <c r="W159" s="17" t="str">
        <f t="shared" si="22"/>
        <v>BOL Platz 11 Rang 1</v>
      </c>
    </row>
    <row r="160" spans="1:23" x14ac:dyDescent="0.35">
      <c r="A160" s="17"/>
      <c r="B160" s="17"/>
      <c r="C160" s="16"/>
      <c r="D160" s="18">
        <v>12</v>
      </c>
      <c r="E160" s="18" t="s">
        <v>255</v>
      </c>
      <c r="F160" s="18">
        <v>22</v>
      </c>
      <c r="G160" s="18">
        <v>4</v>
      </c>
      <c r="H160" s="18">
        <v>0</v>
      </c>
      <c r="I160" s="18">
        <v>18</v>
      </c>
      <c r="J160" s="18">
        <v>535</v>
      </c>
      <c r="K160" s="18" t="s">
        <v>20</v>
      </c>
      <c r="L160" s="19">
        <v>628</v>
      </c>
      <c r="M160" s="18">
        <v>8</v>
      </c>
      <c r="N160" s="18" t="s">
        <v>20</v>
      </c>
      <c r="O160" s="19">
        <v>36</v>
      </c>
      <c r="P160" s="17">
        <v>8</v>
      </c>
      <c r="Q160" s="17">
        <f t="shared" si="16"/>
        <v>208714545</v>
      </c>
      <c r="R160" s="17">
        <f t="shared" si="17"/>
        <v>24318</v>
      </c>
      <c r="S160" s="17">
        <f t="shared" si="18"/>
        <v>62363158</v>
      </c>
      <c r="T160" s="17">
        <f t="shared" si="19"/>
        <v>165161115</v>
      </c>
      <c r="U160" s="17">
        <f t="shared" si="20"/>
        <v>165</v>
      </c>
      <c r="V160" s="17">
        <f t="shared" si="21"/>
        <v>158</v>
      </c>
      <c r="W160" s="17" t="str">
        <f t="shared" si="22"/>
        <v>BOL Platz 12 Rang -1</v>
      </c>
    </row>
    <row r="161" spans="1:23" x14ac:dyDescent="0.35">
      <c r="A161" s="17"/>
      <c r="B161" s="17"/>
      <c r="C161" s="16" t="s">
        <v>520</v>
      </c>
      <c r="D161" s="18">
        <v>1</v>
      </c>
      <c r="E161" s="18" t="s">
        <v>256</v>
      </c>
      <c r="F161" s="18">
        <v>20</v>
      </c>
      <c r="G161" s="18">
        <v>15</v>
      </c>
      <c r="H161" s="18">
        <v>0</v>
      </c>
      <c r="I161" s="18">
        <v>5</v>
      </c>
      <c r="J161" s="18">
        <v>615</v>
      </c>
      <c r="K161" s="18" t="s">
        <v>20</v>
      </c>
      <c r="L161" s="19">
        <v>497</v>
      </c>
      <c r="M161" s="18">
        <v>30</v>
      </c>
      <c r="N161" s="18" t="s">
        <v>20</v>
      </c>
      <c r="O161" s="19">
        <v>10</v>
      </c>
      <c r="P161" s="17">
        <v>8</v>
      </c>
      <c r="Q161" s="17">
        <f t="shared" si="16"/>
        <v>209860000</v>
      </c>
      <c r="R161" s="17">
        <f t="shared" si="17"/>
        <v>30750</v>
      </c>
      <c r="S161" s="17">
        <f t="shared" si="18"/>
        <v>75150159</v>
      </c>
      <c r="T161" s="17">
        <f t="shared" si="19"/>
        <v>85033051</v>
      </c>
      <c r="U161" s="17">
        <f t="shared" si="20"/>
        <v>85</v>
      </c>
      <c r="V161" s="17">
        <f t="shared" si="21"/>
        <v>159</v>
      </c>
      <c r="W161" s="17" t="str">
        <f t="shared" si="22"/>
        <v>BOL Platz 1 Rang 7</v>
      </c>
    </row>
    <row r="162" spans="1:23" x14ac:dyDescent="0.35">
      <c r="A162" s="17"/>
      <c r="B162" s="17"/>
      <c r="C162" s="16"/>
      <c r="D162" s="18">
        <v>2</v>
      </c>
      <c r="E162" s="18" t="s">
        <v>196</v>
      </c>
      <c r="F162" s="18">
        <v>20</v>
      </c>
      <c r="G162" s="18">
        <v>14</v>
      </c>
      <c r="H162" s="18">
        <v>0</v>
      </c>
      <c r="I162" s="18">
        <v>6</v>
      </c>
      <c r="J162" s="18">
        <v>607</v>
      </c>
      <c r="K162" s="18" t="s">
        <v>20</v>
      </c>
      <c r="L162" s="19">
        <v>550</v>
      </c>
      <c r="M162" s="18">
        <v>28</v>
      </c>
      <c r="N162" s="18" t="s">
        <v>20</v>
      </c>
      <c r="O162" s="19">
        <v>12</v>
      </c>
      <c r="P162" s="17">
        <v>8</v>
      </c>
      <c r="Q162" s="17">
        <f t="shared" si="16"/>
        <v>209756000</v>
      </c>
      <c r="R162" s="17">
        <f t="shared" si="17"/>
        <v>30350</v>
      </c>
      <c r="S162" s="17">
        <f t="shared" si="18"/>
        <v>72500160</v>
      </c>
      <c r="T162" s="17">
        <f t="shared" si="19"/>
        <v>92045061</v>
      </c>
      <c r="U162" s="17">
        <f t="shared" si="20"/>
        <v>93</v>
      </c>
      <c r="V162" s="17">
        <f t="shared" si="21"/>
        <v>160</v>
      </c>
      <c r="W162" s="17" t="str">
        <f t="shared" si="22"/>
        <v>BOL Platz 2 Rang 7</v>
      </c>
    </row>
    <row r="163" spans="1:23" x14ac:dyDescent="0.35">
      <c r="A163" s="17"/>
      <c r="B163" s="17"/>
      <c r="C163" s="16"/>
      <c r="D163" s="18">
        <v>3</v>
      </c>
      <c r="E163" s="18" t="s">
        <v>190</v>
      </c>
      <c r="F163" s="18">
        <v>20</v>
      </c>
      <c r="G163" s="18">
        <v>14</v>
      </c>
      <c r="H163" s="18">
        <v>0</v>
      </c>
      <c r="I163" s="18">
        <v>6</v>
      </c>
      <c r="J163" s="18">
        <v>639</v>
      </c>
      <c r="K163" s="18" t="s">
        <v>20</v>
      </c>
      <c r="L163" s="19">
        <v>598</v>
      </c>
      <c r="M163" s="18">
        <v>28</v>
      </c>
      <c r="N163" s="18" t="s">
        <v>20</v>
      </c>
      <c r="O163" s="19">
        <v>12</v>
      </c>
      <c r="P163" s="17">
        <v>8</v>
      </c>
      <c r="Q163" s="17">
        <f t="shared" si="16"/>
        <v>209656000</v>
      </c>
      <c r="R163" s="17">
        <f t="shared" si="17"/>
        <v>31950</v>
      </c>
      <c r="S163" s="17">
        <f t="shared" si="18"/>
        <v>70100161</v>
      </c>
      <c r="T163" s="17">
        <f t="shared" si="19"/>
        <v>97019076</v>
      </c>
      <c r="U163" s="17">
        <f t="shared" si="20"/>
        <v>97</v>
      </c>
      <c r="V163" s="17">
        <f t="shared" si="21"/>
        <v>161</v>
      </c>
      <c r="W163" s="17" t="str">
        <f t="shared" si="22"/>
        <v>BOL Platz 3 Rang 3</v>
      </c>
    </row>
    <row r="164" spans="1:23" x14ac:dyDescent="0.35">
      <c r="A164" s="17"/>
      <c r="B164" s="17"/>
      <c r="C164" s="16"/>
      <c r="D164" s="18">
        <v>4</v>
      </c>
      <c r="E164" s="18" t="s">
        <v>258</v>
      </c>
      <c r="F164" s="18">
        <v>20</v>
      </c>
      <c r="G164" s="18">
        <v>11</v>
      </c>
      <c r="H164" s="18">
        <v>1</v>
      </c>
      <c r="I164" s="18">
        <v>8</v>
      </c>
      <c r="J164" s="18">
        <v>542</v>
      </c>
      <c r="K164" s="18" t="s">
        <v>20</v>
      </c>
      <c r="L164" s="19">
        <v>546</v>
      </c>
      <c r="M164" s="18">
        <v>23</v>
      </c>
      <c r="N164" s="18" t="s">
        <v>20</v>
      </c>
      <c r="O164" s="19">
        <v>17</v>
      </c>
      <c r="P164" s="17">
        <v>8</v>
      </c>
      <c r="Q164" s="17">
        <f t="shared" si="16"/>
        <v>209546000</v>
      </c>
      <c r="R164" s="17">
        <f t="shared" si="17"/>
        <v>27100</v>
      </c>
      <c r="S164" s="17">
        <f t="shared" si="18"/>
        <v>72700162</v>
      </c>
      <c r="T164" s="17">
        <f t="shared" si="19"/>
        <v>106128057</v>
      </c>
      <c r="U164" s="17">
        <f t="shared" si="20"/>
        <v>106</v>
      </c>
      <c r="V164" s="17">
        <f t="shared" si="21"/>
        <v>162</v>
      </c>
      <c r="W164" s="17" t="str">
        <f t="shared" si="22"/>
        <v>BOL Platz 4 Rang 4</v>
      </c>
    </row>
    <row r="165" spans="1:23" x14ac:dyDescent="0.35">
      <c r="A165" s="17"/>
      <c r="B165" s="17"/>
      <c r="C165" s="16"/>
      <c r="D165" s="18">
        <v>5</v>
      </c>
      <c r="E165" s="18" t="s">
        <v>257</v>
      </c>
      <c r="F165" s="18">
        <v>20</v>
      </c>
      <c r="G165" s="18">
        <v>11</v>
      </c>
      <c r="H165" s="18">
        <v>0</v>
      </c>
      <c r="I165" s="18">
        <v>9</v>
      </c>
      <c r="J165" s="18">
        <v>581</v>
      </c>
      <c r="K165" s="18" t="s">
        <v>20</v>
      </c>
      <c r="L165" s="19">
        <v>579</v>
      </c>
      <c r="M165" s="18">
        <v>22</v>
      </c>
      <c r="N165" s="18" t="s">
        <v>20</v>
      </c>
      <c r="O165" s="19">
        <v>18</v>
      </c>
      <c r="P165" s="17">
        <v>8</v>
      </c>
      <c r="Q165" s="17">
        <f t="shared" si="16"/>
        <v>209444000</v>
      </c>
      <c r="R165" s="17">
        <f t="shared" si="17"/>
        <v>29050</v>
      </c>
      <c r="S165" s="17">
        <f t="shared" si="18"/>
        <v>71050163</v>
      </c>
      <c r="T165" s="17">
        <f t="shared" si="19"/>
        <v>112083071</v>
      </c>
      <c r="U165" s="17">
        <f t="shared" si="20"/>
        <v>113</v>
      </c>
      <c r="V165" s="17">
        <f t="shared" si="21"/>
        <v>163</v>
      </c>
      <c r="W165" s="17" t="str">
        <f t="shared" si="22"/>
        <v>BOL Platz 5 Rang 3</v>
      </c>
    </row>
    <row r="166" spans="1:23" x14ac:dyDescent="0.35">
      <c r="A166" s="17"/>
      <c r="B166" s="17"/>
      <c r="C166" s="16"/>
      <c r="D166" s="18">
        <v>6</v>
      </c>
      <c r="E166" s="18" t="s">
        <v>193</v>
      </c>
      <c r="F166" s="18">
        <v>20</v>
      </c>
      <c r="G166" s="18">
        <v>9</v>
      </c>
      <c r="H166" s="18">
        <v>1</v>
      </c>
      <c r="I166" s="18">
        <v>10</v>
      </c>
      <c r="J166" s="18">
        <v>532</v>
      </c>
      <c r="K166" s="18" t="s">
        <v>20</v>
      </c>
      <c r="L166" s="19">
        <v>534</v>
      </c>
      <c r="M166" s="18">
        <v>19</v>
      </c>
      <c r="N166" s="18" t="s">
        <v>20</v>
      </c>
      <c r="O166" s="19">
        <v>21</v>
      </c>
      <c r="P166" s="17">
        <v>8</v>
      </c>
      <c r="Q166" s="17">
        <f t="shared" si="16"/>
        <v>209338000</v>
      </c>
      <c r="R166" s="17">
        <f t="shared" si="17"/>
        <v>26600</v>
      </c>
      <c r="S166" s="17">
        <f t="shared" si="18"/>
        <v>73300164</v>
      </c>
      <c r="T166" s="17">
        <f t="shared" si="19"/>
        <v>123139056</v>
      </c>
      <c r="U166" s="17">
        <f t="shared" si="20"/>
        <v>123</v>
      </c>
      <c r="V166" s="17">
        <f t="shared" si="21"/>
        <v>164</v>
      </c>
      <c r="W166" s="17" t="str">
        <f t="shared" si="22"/>
        <v>BOL Platz 6 Rang 5</v>
      </c>
    </row>
    <row r="167" spans="1:23" x14ac:dyDescent="0.35">
      <c r="A167" s="17"/>
      <c r="B167" s="17"/>
      <c r="C167" s="16"/>
      <c r="D167" s="18">
        <v>7</v>
      </c>
      <c r="E167" s="18" t="s">
        <v>192</v>
      </c>
      <c r="F167" s="18">
        <v>20</v>
      </c>
      <c r="G167" s="18">
        <v>9</v>
      </c>
      <c r="H167" s="18">
        <v>0</v>
      </c>
      <c r="I167" s="18">
        <v>11</v>
      </c>
      <c r="J167" s="18">
        <v>542</v>
      </c>
      <c r="K167" s="18" t="s">
        <v>20</v>
      </c>
      <c r="L167" s="19">
        <v>529</v>
      </c>
      <c r="M167" s="18">
        <v>18</v>
      </c>
      <c r="N167" s="18" t="s">
        <v>20</v>
      </c>
      <c r="O167" s="19">
        <v>22</v>
      </c>
      <c r="P167" s="17">
        <v>8</v>
      </c>
      <c r="Q167" s="17">
        <f t="shared" si="16"/>
        <v>209236000</v>
      </c>
      <c r="R167" s="17">
        <f t="shared" si="17"/>
        <v>27100</v>
      </c>
      <c r="S167" s="17">
        <f t="shared" si="18"/>
        <v>73550165</v>
      </c>
      <c r="T167" s="17">
        <f t="shared" si="19"/>
        <v>129128055</v>
      </c>
      <c r="U167" s="17">
        <f t="shared" si="20"/>
        <v>129</v>
      </c>
      <c r="V167" s="17">
        <f t="shared" si="21"/>
        <v>165</v>
      </c>
      <c r="W167" s="17" t="str">
        <f t="shared" si="22"/>
        <v>BOL Platz 7 Rang 3</v>
      </c>
    </row>
    <row r="168" spans="1:23" x14ac:dyDescent="0.35">
      <c r="A168" s="17"/>
      <c r="B168" s="17"/>
      <c r="C168" s="16"/>
      <c r="D168" s="18">
        <v>8</v>
      </c>
      <c r="E168" s="18" t="s">
        <v>169</v>
      </c>
      <c r="F168" s="18">
        <v>20</v>
      </c>
      <c r="G168" s="18">
        <v>8</v>
      </c>
      <c r="H168" s="18">
        <v>0</v>
      </c>
      <c r="I168" s="18">
        <v>12</v>
      </c>
      <c r="J168" s="18">
        <v>579</v>
      </c>
      <c r="K168" s="18" t="s">
        <v>20</v>
      </c>
      <c r="L168" s="19">
        <v>610</v>
      </c>
      <c r="M168" s="18">
        <v>16</v>
      </c>
      <c r="N168" s="18" t="s">
        <v>20</v>
      </c>
      <c r="O168" s="19">
        <v>24</v>
      </c>
      <c r="P168" s="17">
        <v>8</v>
      </c>
      <c r="Q168" s="17">
        <f t="shared" si="16"/>
        <v>209132000</v>
      </c>
      <c r="R168" s="17">
        <f t="shared" si="17"/>
        <v>28950</v>
      </c>
      <c r="S168" s="17">
        <f t="shared" si="18"/>
        <v>69500166</v>
      </c>
      <c r="T168" s="17">
        <f t="shared" si="19"/>
        <v>137088080</v>
      </c>
      <c r="U168" s="17">
        <f t="shared" si="20"/>
        <v>137</v>
      </c>
      <c r="V168" s="17">
        <f t="shared" si="21"/>
        <v>166</v>
      </c>
      <c r="W168" s="17" t="str">
        <f t="shared" si="22"/>
        <v>BOL Platz 8 Rang 3</v>
      </c>
    </row>
    <row r="169" spans="1:23" x14ac:dyDescent="0.35">
      <c r="A169" s="17"/>
      <c r="B169" s="17"/>
      <c r="C169" s="16"/>
      <c r="D169" s="18">
        <v>9</v>
      </c>
      <c r="E169" s="18" t="s">
        <v>259</v>
      </c>
      <c r="F169" s="18">
        <v>20</v>
      </c>
      <c r="G169" s="18">
        <v>7</v>
      </c>
      <c r="H169" s="18">
        <v>1</v>
      </c>
      <c r="I169" s="18">
        <v>12</v>
      </c>
      <c r="J169" s="18">
        <v>586</v>
      </c>
      <c r="K169" s="18" t="s">
        <v>20</v>
      </c>
      <c r="L169" s="19">
        <v>588</v>
      </c>
      <c r="M169" s="18">
        <v>15</v>
      </c>
      <c r="N169" s="18" t="s">
        <v>20</v>
      </c>
      <c r="O169" s="19">
        <v>25</v>
      </c>
      <c r="P169" s="17">
        <v>8</v>
      </c>
      <c r="Q169" s="17">
        <f t="shared" si="16"/>
        <v>209030000</v>
      </c>
      <c r="R169" s="17">
        <f t="shared" si="17"/>
        <v>29300</v>
      </c>
      <c r="S169" s="17">
        <f t="shared" si="18"/>
        <v>70600167</v>
      </c>
      <c r="T169" s="17">
        <f t="shared" si="19"/>
        <v>145075073</v>
      </c>
      <c r="U169" s="17">
        <f t="shared" si="20"/>
        <v>145</v>
      </c>
      <c r="V169" s="17">
        <f t="shared" si="21"/>
        <v>167</v>
      </c>
      <c r="W169" s="17" t="str">
        <f t="shared" si="22"/>
        <v>BOL Platz 9 Rang 3</v>
      </c>
    </row>
    <row r="170" spans="1:23" x14ac:dyDescent="0.35">
      <c r="A170" s="17"/>
      <c r="B170" s="17"/>
      <c r="C170" s="16"/>
      <c r="D170" s="18">
        <v>10</v>
      </c>
      <c r="E170" s="18" t="s">
        <v>260</v>
      </c>
      <c r="F170" s="18">
        <v>20</v>
      </c>
      <c r="G170" s="18">
        <v>7</v>
      </c>
      <c r="H170" s="18">
        <v>0</v>
      </c>
      <c r="I170" s="18">
        <v>13</v>
      </c>
      <c r="J170" s="18">
        <v>561</v>
      </c>
      <c r="K170" s="18" t="s">
        <v>20</v>
      </c>
      <c r="L170" s="19">
        <v>609</v>
      </c>
      <c r="M170" s="18">
        <v>14</v>
      </c>
      <c r="N170" s="18" t="s">
        <v>20</v>
      </c>
      <c r="O170" s="19">
        <v>26</v>
      </c>
      <c r="P170" s="17">
        <v>8</v>
      </c>
      <c r="Q170" s="17">
        <f t="shared" si="16"/>
        <v>208928000</v>
      </c>
      <c r="R170" s="17">
        <f t="shared" si="17"/>
        <v>28050</v>
      </c>
      <c r="S170" s="17">
        <f t="shared" si="18"/>
        <v>69550168</v>
      </c>
      <c r="T170" s="17">
        <f t="shared" si="19"/>
        <v>153108078</v>
      </c>
      <c r="U170" s="17">
        <f t="shared" si="20"/>
        <v>153</v>
      </c>
      <c r="V170" s="17">
        <f t="shared" si="21"/>
        <v>168</v>
      </c>
      <c r="W170" s="17" t="str">
        <f t="shared" si="22"/>
        <v>BOL Platz 10 Rang 3</v>
      </c>
    </row>
    <row r="171" spans="1:23" x14ac:dyDescent="0.35">
      <c r="A171" s="17"/>
      <c r="B171" s="17"/>
      <c r="C171" s="16"/>
      <c r="D171" s="18">
        <v>11</v>
      </c>
      <c r="E171" s="18" t="s">
        <v>261</v>
      </c>
      <c r="F171" s="18">
        <v>20</v>
      </c>
      <c r="G171" s="18">
        <v>3</v>
      </c>
      <c r="H171" s="18">
        <v>1</v>
      </c>
      <c r="I171" s="18">
        <v>16</v>
      </c>
      <c r="J171" s="18">
        <v>443</v>
      </c>
      <c r="K171" s="18" t="s">
        <v>20</v>
      </c>
      <c r="L171" s="19">
        <v>587</v>
      </c>
      <c r="M171" s="18">
        <v>7</v>
      </c>
      <c r="N171" s="18" t="s">
        <v>20</v>
      </c>
      <c r="O171" s="19">
        <v>33</v>
      </c>
      <c r="P171" s="17">
        <v>8</v>
      </c>
      <c r="Q171" s="17">
        <f t="shared" si="16"/>
        <v>208814000</v>
      </c>
      <c r="R171" s="17">
        <f t="shared" si="17"/>
        <v>22150</v>
      </c>
      <c r="S171" s="17">
        <f t="shared" si="18"/>
        <v>70650169</v>
      </c>
      <c r="T171" s="17">
        <f t="shared" si="19"/>
        <v>163167072</v>
      </c>
      <c r="U171" s="17">
        <f t="shared" si="20"/>
        <v>163</v>
      </c>
      <c r="V171" s="17">
        <f t="shared" si="21"/>
        <v>169</v>
      </c>
      <c r="W171" s="17" t="str">
        <f t="shared" si="22"/>
        <v>BOL Platz 11 Rang 5</v>
      </c>
    </row>
    <row r="172" spans="1:23" x14ac:dyDescent="0.35">
      <c r="A172" s="17"/>
      <c r="B172" s="17"/>
      <c r="C172" s="16"/>
      <c r="D172" s="17" t="s">
        <v>540</v>
      </c>
      <c r="E172" s="17" t="s">
        <v>540</v>
      </c>
      <c r="F172" s="17" t="s">
        <v>540</v>
      </c>
      <c r="G172" s="17" t="s">
        <v>540</v>
      </c>
      <c r="H172" s="17" t="s">
        <v>540</v>
      </c>
      <c r="I172" s="17" t="s">
        <v>540</v>
      </c>
      <c r="J172" s="17" t="s">
        <v>540</v>
      </c>
      <c r="K172" s="17" t="s">
        <v>540</v>
      </c>
      <c r="L172" s="17" t="s">
        <v>540</v>
      </c>
      <c r="M172" s="17" t="s">
        <v>540</v>
      </c>
      <c r="N172" s="17" t="s">
        <v>540</v>
      </c>
      <c r="O172" s="17" t="s">
        <v>540</v>
      </c>
      <c r="P172" s="17"/>
      <c r="Q172" s="17"/>
      <c r="R172" s="17"/>
      <c r="S172" s="17"/>
      <c r="T172" s="17"/>
      <c r="U172" s="17"/>
      <c r="V172" s="17"/>
      <c r="W172" s="17"/>
    </row>
    <row r="173" spans="1:23" x14ac:dyDescent="0.35">
      <c r="A173" s="17"/>
      <c r="B173" s="17"/>
      <c r="C173" s="16"/>
      <c r="D173" s="17" t="s">
        <v>540</v>
      </c>
      <c r="E173" s="17" t="s">
        <v>540</v>
      </c>
      <c r="F173" s="17" t="s">
        <v>540</v>
      </c>
      <c r="G173" s="17" t="s">
        <v>540</v>
      </c>
      <c r="H173" s="17" t="s">
        <v>540</v>
      </c>
      <c r="I173" s="17" t="s">
        <v>540</v>
      </c>
      <c r="J173" s="17" t="s">
        <v>540</v>
      </c>
      <c r="K173" s="17" t="s">
        <v>540</v>
      </c>
      <c r="L173" s="17" t="s">
        <v>540</v>
      </c>
      <c r="M173" s="17" t="s">
        <v>540</v>
      </c>
      <c r="N173" s="17" t="s">
        <v>540</v>
      </c>
      <c r="O173" s="17" t="s">
        <v>540</v>
      </c>
      <c r="P173" s="15" t="s">
        <v>198</v>
      </c>
      <c r="Q173" s="15" t="s">
        <v>199</v>
      </c>
      <c r="R173" s="15" t="s">
        <v>202</v>
      </c>
      <c r="S173" s="15" t="s">
        <v>201</v>
      </c>
      <c r="T173" s="15" t="s">
        <v>505</v>
      </c>
      <c r="U173" s="15" t="s">
        <v>203</v>
      </c>
      <c r="V173" s="15" t="s">
        <v>200</v>
      </c>
      <c r="W173" s="15" t="s">
        <v>521</v>
      </c>
    </row>
    <row r="174" spans="1:23" x14ac:dyDescent="0.35">
      <c r="A174" s="17"/>
      <c r="B174" s="16" t="s">
        <v>478</v>
      </c>
      <c r="C174" s="16" t="s">
        <v>414</v>
      </c>
      <c r="D174" s="18">
        <v>1</v>
      </c>
      <c r="E174" s="18" t="s">
        <v>135</v>
      </c>
      <c r="F174" s="18">
        <v>20</v>
      </c>
      <c r="G174" s="18">
        <v>18</v>
      </c>
      <c r="H174" s="18">
        <v>2</v>
      </c>
      <c r="I174" s="18">
        <v>0</v>
      </c>
      <c r="J174" s="18">
        <v>630</v>
      </c>
      <c r="K174" s="18" t="s">
        <v>20</v>
      </c>
      <c r="L174" s="19">
        <v>462</v>
      </c>
      <c r="M174" s="18">
        <v>38</v>
      </c>
      <c r="N174" s="18" t="s">
        <v>20</v>
      </c>
      <c r="O174" s="19">
        <v>2</v>
      </c>
      <c r="P174" s="17">
        <v>5</v>
      </c>
      <c r="Q174" s="17">
        <f>INT(40000*M174/F174)+100000*(99-D174+1000*(10-P174))</f>
        <v>509876000</v>
      </c>
      <c r="R174" s="17">
        <f t="shared" ref="R174:R237" si="23">INT(1000*J174/F174)</f>
        <v>31500</v>
      </c>
      <c r="S174" s="17">
        <f t="shared" ref="S174:S237" si="24">V174+1000*(INT(1000*(2000-L174)/F174))</f>
        <v>76900001</v>
      </c>
      <c r="T174" s="17">
        <f t="shared" ref="T174:T205" si="25">RANK(S174,S$174:S$325)+1000*RANK(R174,R$174:R$325)+1000000*RANK(Q174,Q$174:Q$325)</f>
        <v>1005130</v>
      </c>
      <c r="U174" s="17">
        <f t="shared" ref="U174:U205" si="26">RANK(T174,T$174:T$325,1)</f>
        <v>1</v>
      </c>
      <c r="V174" s="17">
        <v>1</v>
      </c>
      <c r="W174" s="17"/>
    </row>
    <row r="175" spans="1:23" x14ac:dyDescent="0.35">
      <c r="A175" s="17"/>
      <c r="B175" s="17"/>
      <c r="C175" s="16"/>
      <c r="D175" s="18">
        <v>2</v>
      </c>
      <c r="E175" s="18" t="s">
        <v>107</v>
      </c>
      <c r="F175" s="18">
        <v>20</v>
      </c>
      <c r="G175" s="18">
        <v>15</v>
      </c>
      <c r="H175" s="18">
        <v>0</v>
      </c>
      <c r="I175" s="18">
        <v>5</v>
      </c>
      <c r="J175" s="18">
        <v>553</v>
      </c>
      <c r="K175" s="18" t="s">
        <v>20</v>
      </c>
      <c r="L175" s="19">
        <v>474</v>
      </c>
      <c r="M175" s="18">
        <v>30</v>
      </c>
      <c r="N175" s="18" t="s">
        <v>20</v>
      </c>
      <c r="O175" s="19">
        <v>10</v>
      </c>
      <c r="P175" s="17">
        <v>5</v>
      </c>
      <c r="Q175" s="17">
        <f t="shared" ref="Q175:Q238" si="27">INT(40000*M175/F175)+100000*(99-D175+1000*(10-P175))</f>
        <v>509760000</v>
      </c>
      <c r="R175" s="17">
        <f t="shared" si="23"/>
        <v>27650</v>
      </c>
      <c r="S175" s="17">
        <f t="shared" si="24"/>
        <v>76300002</v>
      </c>
      <c r="T175" s="17">
        <f t="shared" si="25"/>
        <v>2045131</v>
      </c>
      <c r="U175" s="17">
        <f t="shared" si="26"/>
        <v>2</v>
      </c>
      <c r="V175" s="17">
        <f>+V174+1</f>
        <v>2</v>
      </c>
      <c r="W175" s="17"/>
    </row>
    <row r="176" spans="1:23" x14ac:dyDescent="0.35">
      <c r="A176" s="17"/>
      <c r="B176" s="17"/>
      <c r="C176" s="16"/>
      <c r="D176" s="18">
        <v>3</v>
      </c>
      <c r="E176" s="18" t="s">
        <v>144</v>
      </c>
      <c r="F176" s="18">
        <v>20</v>
      </c>
      <c r="G176" s="18">
        <v>11</v>
      </c>
      <c r="H176" s="18">
        <v>1</v>
      </c>
      <c r="I176" s="18">
        <v>8</v>
      </c>
      <c r="J176" s="18">
        <v>521</v>
      </c>
      <c r="K176" s="18" t="s">
        <v>20</v>
      </c>
      <c r="L176" s="19">
        <v>539</v>
      </c>
      <c r="M176" s="18">
        <v>23</v>
      </c>
      <c r="N176" s="18" t="s">
        <v>20</v>
      </c>
      <c r="O176" s="19">
        <v>17</v>
      </c>
      <c r="P176" s="17">
        <v>5</v>
      </c>
      <c r="Q176" s="17">
        <f t="shared" si="27"/>
        <v>509646000</v>
      </c>
      <c r="R176" s="17">
        <f t="shared" si="23"/>
        <v>26050</v>
      </c>
      <c r="S176" s="17">
        <f t="shared" si="24"/>
        <v>73050003</v>
      </c>
      <c r="T176" s="17">
        <f t="shared" si="25"/>
        <v>3074135</v>
      </c>
      <c r="U176" s="17">
        <f t="shared" si="26"/>
        <v>3</v>
      </c>
      <c r="V176" s="17">
        <f t="shared" ref="V176:V239" si="28">+V175+1</f>
        <v>3</v>
      </c>
      <c r="W176" s="17"/>
    </row>
    <row r="177" spans="1:23" x14ac:dyDescent="0.35">
      <c r="A177" s="17"/>
      <c r="B177" s="17"/>
      <c r="C177" s="16"/>
      <c r="D177" s="18">
        <v>4</v>
      </c>
      <c r="E177" s="18" t="s">
        <v>161</v>
      </c>
      <c r="F177" s="18">
        <v>20</v>
      </c>
      <c r="G177" s="18">
        <v>10</v>
      </c>
      <c r="H177" s="18">
        <v>2</v>
      </c>
      <c r="I177" s="18">
        <v>8</v>
      </c>
      <c r="J177" s="18">
        <v>560</v>
      </c>
      <c r="K177" s="18" t="s">
        <v>20</v>
      </c>
      <c r="L177" s="19">
        <v>571</v>
      </c>
      <c r="M177" s="18">
        <v>22</v>
      </c>
      <c r="N177" s="18" t="s">
        <v>20</v>
      </c>
      <c r="O177" s="19">
        <v>18</v>
      </c>
      <c r="P177" s="17">
        <v>5</v>
      </c>
      <c r="Q177" s="17">
        <f t="shared" si="27"/>
        <v>509544000</v>
      </c>
      <c r="R177" s="17">
        <f t="shared" si="23"/>
        <v>28000</v>
      </c>
      <c r="S177" s="17">
        <f t="shared" si="24"/>
        <v>71450004</v>
      </c>
      <c r="T177" s="17">
        <f t="shared" si="25"/>
        <v>4037138</v>
      </c>
      <c r="U177" s="17">
        <f t="shared" si="26"/>
        <v>4</v>
      </c>
      <c r="V177" s="17">
        <f t="shared" si="28"/>
        <v>4</v>
      </c>
      <c r="W177" s="17"/>
    </row>
    <row r="178" spans="1:23" x14ac:dyDescent="0.35">
      <c r="A178" s="17"/>
      <c r="B178" s="17"/>
      <c r="C178" s="16"/>
      <c r="D178" s="18">
        <v>5</v>
      </c>
      <c r="E178" s="18" t="s">
        <v>105</v>
      </c>
      <c r="F178" s="18">
        <v>20</v>
      </c>
      <c r="G178" s="18">
        <v>10</v>
      </c>
      <c r="H178" s="18">
        <v>1</v>
      </c>
      <c r="I178" s="18">
        <v>9</v>
      </c>
      <c r="J178" s="18">
        <v>538</v>
      </c>
      <c r="K178" s="18" t="s">
        <v>20</v>
      </c>
      <c r="L178" s="19">
        <v>520</v>
      </c>
      <c r="M178" s="18">
        <v>21</v>
      </c>
      <c r="N178" s="18" t="s">
        <v>20</v>
      </c>
      <c r="O178" s="19">
        <v>19</v>
      </c>
      <c r="P178" s="17">
        <v>5</v>
      </c>
      <c r="Q178" s="17">
        <f t="shared" si="27"/>
        <v>509442000</v>
      </c>
      <c r="R178" s="17">
        <f t="shared" si="23"/>
        <v>26900</v>
      </c>
      <c r="S178" s="17">
        <f t="shared" si="24"/>
        <v>74000005</v>
      </c>
      <c r="T178" s="17">
        <f t="shared" si="25"/>
        <v>5060132</v>
      </c>
      <c r="U178" s="17">
        <f t="shared" si="26"/>
        <v>5</v>
      </c>
      <c r="V178" s="17">
        <f t="shared" si="28"/>
        <v>5</v>
      </c>
      <c r="W178" s="17"/>
    </row>
    <row r="179" spans="1:23" x14ac:dyDescent="0.35">
      <c r="A179" s="17"/>
      <c r="B179" s="17"/>
      <c r="C179" s="16"/>
      <c r="D179" s="18">
        <v>6</v>
      </c>
      <c r="E179" s="18" t="s">
        <v>162</v>
      </c>
      <c r="F179" s="18">
        <v>20</v>
      </c>
      <c r="G179" s="18">
        <v>9</v>
      </c>
      <c r="H179" s="18">
        <v>1</v>
      </c>
      <c r="I179" s="18">
        <v>10</v>
      </c>
      <c r="J179" s="18">
        <v>544</v>
      </c>
      <c r="K179" s="18" t="s">
        <v>20</v>
      </c>
      <c r="L179" s="19">
        <v>543</v>
      </c>
      <c r="M179" s="18">
        <v>19</v>
      </c>
      <c r="N179" s="18" t="s">
        <v>20</v>
      </c>
      <c r="O179" s="19">
        <v>21</v>
      </c>
      <c r="P179" s="17">
        <v>5</v>
      </c>
      <c r="Q179" s="17">
        <f t="shared" si="27"/>
        <v>509338000</v>
      </c>
      <c r="R179" s="17">
        <f t="shared" si="23"/>
        <v>27200</v>
      </c>
      <c r="S179" s="17">
        <f t="shared" si="24"/>
        <v>72850006</v>
      </c>
      <c r="T179" s="17">
        <f t="shared" si="25"/>
        <v>6055136</v>
      </c>
      <c r="U179" s="17">
        <f t="shared" si="26"/>
        <v>6</v>
      </c>
      <c r="V179" s="17">
        <f t="shared" si="28"/>
        <v>6</v>
      </c>
      <c r="W179" s="17"/>
    </row>
    <row r="180" spans="1:23" x14ac:dyDescent="0.35">
      <c r="A180" s="17"/>
      <c r="B180" s="17"/>
      <c r="C180" s="16"/>
      <c r="D180" s="18">
        <v>7</v>
      </c>
      <c r="E180" s="18" t="s">
        <v>112</v>
      </c>
      <c r="F180" s="18">
        <v>20</v>
      </c>
      <c r="G180" s="18">
        <v>8</v>
      </c>
      <c r="H180" s="18">
        <v>1</v>
      </c>
      <c r="I180" s="18">
        <v>11</v>
      </c>
      <c r="J180" s="18">
        <v>559</v>
      </c>
      <c r="K180" s="18" t="s">
        <v>20</v>
      </c>
      <c r="L180" s="19">
        <v>611</v>
      </c>
      <c r="M180" s="18">
        <v>17</v>
      </c>
      <c r="N180" s="18" t="s">
        <v>20</v>
      </c>
      <c r="O180" s="19">
        <v>23</v>
      </c>
      <c r="P180" s="17">
        <v>5</v>
      </c>
      <c r="Q180" s="17">
        <f t="shared" si="27"/>
        <v>509234000</v>
      </c>
      <c r="R180" s="17">
        <f t="shared" si="23"/>
        <v>27950</v>
      </c>
      <c r="S180" s="17">
        <f t="shared" si="24"/>
        <v>69450007</v>
      </c>
      <c r="T180" s="17">
        <f t="shared" si="25"/>
        <v>7041140</v>
      </c>
      <c r="U180" s="17">
        <f t="shared" si="26"/>
        <v>7</v>
      </c>
      <c r="V180" s="17">
        <f t="shared" si="28"/>
        <v>7</v>
      </c>
      <c r="W180" s="17"/>
    </row>
    <row r="181" spans="1:23" x14ac:dyDescent="0.35">
      <c r="A181" s="17"/>
      <c r="B181" s="17"/>
      <c r="C181" s="16"/>
      <c r="D181" s="18">
        <v>8</v>
      </c>
      <c r="E181" s="18" t="s">
        <v>139</v>
      </c>
      <c r="F181" s="18">
        <v>20</v>
      </c>
      <c r="G181" s="18">
        <v>8</v>
      </c>
      <c r="H181" s="18">
        <v>0</v>
      </c>
      <c r="I181" s="18">
        <v>12</v>
      </c>
      <c r="J181" s="18">
        <v>523</v>
      </c>
      <c r="K181" s="18" t="s">
        <v>20</v>
      </c>
      <c r="L181" s="19">
        <v>530</v>
      </c>
      <c r="M181" s="18">
        <v>16</v>
      </c>
      <c r="N181" s="18" t="s">
        <v>20</v>
      </c>
      <c r="O181" s="19">
        <v>24</v>
      </c>
      <c r="P181" s="17">
        <v>5</v>
      </c>
      <c r="Q181" s="17">
        <f t="shared" si="27"/>
        <v>509132000</v>
      </c>
      <c r="R181" s="17">
        <f t="shared" si="23"/>
        <v>26150</v>
      </c>
      <c r="S181" s="17">
        <f t="shared" si="24"/>
        <v>73500008</v>
      </c>
      <c r="T181" s="17">
        <f t="shared" si="25"/>
        <v>8072134</v>
      </c>
      <c r="U181" s="17">
        <f t="shared" si="26"/>
        <v>8</v>
      </c>
      <c r="V181" s="17">
        <f t="shared" si="28"/>
        <v>8</v>
      </c>
      <c r="W181" s="17"/>
    </row>
    <row r="182" spans="1:23" x14ac:dyDescent="0.35">
      <c r="A182" s="17"/>
      <c r="B182" s="17"/>
      <c r="C182" s="16"/>
      <c r="D182" s="18">
        <v>9</v>
      </c>
      <c r="E182" s="18" t="s">
        <v>151</v>
      </c>
      <c r="F182" s="18">
        <v>20</v>
      </c>
      <c r="G182" s="18">
        <v>5</v>
      </c>
      <c r="H182" s="18">
        <v>2</v>
      </c>
      <c r="I182" s="18">
        <v>13</v>
      </c>
      <c r="J182" s="18">
        <v>505</v>
      </c>
      <c r="K182" s="18" t="s">
        <v>20</v>
      </c>
      <c r="L182" s="19">
        <v>530</v>
      </c>
      <c r="M182" s="18">
        <v>12</v>
      </c>
      <c r="N182" s="18" t="s">
        <v>20</v>
      </c>
      <c r="O182" s="19">
        <v>28</v>
      </c>
      <c r="P182" s="17">
        <v>5</v>
      </c>
      <c r="Q182" s="17">
        <f t="shared" si="27"/>
        <v>509024000</v>
      </c>
      <c r="R182" s="17">
        <f t="shared" si="23"/>
        <v>25250</v>
      </c>
      <c r="S182" s="17">
        <f t="shared" si="24"/>
        <v>73500009</v>
      </c>
      <c r="T182" s="17">
        <f t="shared" si="25"/>
        <v>9090133</v>
      </c>
      <c r="U182" s="17">
        <f t="shared" si="26"/>
        <v>9</v>
      </c>
      <c r="V182" s="17">
        <f t="shared" si="28"/>
        <v>9</v>
      </c>
      <c r="W182" s="17"/>
    </row>
    <row r="183" spans="1:23" x14ac:dyDescent="0.35">
      <c r="A183" s="17"/>
      <c r="B183" s="17"/>
      <c r="C183" s="16"/>
      <c r="D183" s="18">
        <v>10</v>
      </c>
      <c r="E183" s="18" t="s">
        <v>154</v>
      </c>
      <c r="F183" s="18">
        <v>20</v>
      </c>
      <c r="G183" s="18">
        <v>5</v>
      </c>
      <c r="H183" s="18">
        <v>1</v>
      </c>
      <c r="I183" s="18">
        <v>14</v>
      </c>
      <c r="J183" s="18">
        <v>460</v>
      </c>
      <c r="K183" s="18" t="s">
        <v>20</v>
      </c>
      <c r="L183" s="19">
        <v>552</v>
      </c>
      <c r="M183" s="18">
        <v>11</v>
      </c>
      <c r="N183" s="18" t="s">
        <v>20</v>
      </c>
      <c r="O183" s="19">
        <v>29</v>
      </c>
      <c r="P183" s="17">
        <v>5</v>
      </c>
      <c r="Q183" s="17">
        <f t="shared" si="27"/>
        <v>508922000</v>
      </c>
      <c r="R183" s="17">
        <f t="shared" si="23"/>
        <v>23000</v>
      </c>
      <c r="S183" s="17">
        <f t="shared" si="24"/>
        <v>72400010</v>
      </c>
      <c r="T183" s="17">
        <f t="shared" si="25"/>
        <v>10121137</v>
      </c>
      <c r="U183" s="17">
        <f t="shared" si="26"/>
        <v>10</v>
      </c>
      <c r="V183" s="17">
        <f t="shared" si="28"/>
        <v>10</v>
      </c>
      <c r="W183" s="17"/>
    </row>
    <row r="184" spans="1:23" x14ac:dyDescent="0.35">
      <c r="A184" s="17"/>
      <c r="B184" s="17"/>
      <c r="C184" s="16"/>
      <c r="D184" s="18">
        <v>11</v>
      </c>
      <c r="E184" s="18" t="s">
        <v>48</v>
      </c>
      <c r="F184" s="18">
        <v>20</v>
      </c>
      <c r="G184" s="18">
        <v>4</v>
      </c>
      <c r="H184" s="18">
        <v>3</v>
      </c>
      <c r="I184" s="18">
        <v>13</v>
      </c>
      <c r="J184" s="18">
        <v>528</v>
      </c>
      <c r="K184" s="18" t="s">
        <v>20</v>
      </c>
      <c r="L184" s="19">
        <v>589</v>
      </c>
      <c r="M184" s="18">
        <v>11</v>
      </c>
      <c r="N184" s="18" t="s">
        <v>20</v>
      </c>
      <c r="O184" s="19">
        <v>29</v>
      </c>
      <c r="P184" s="17">
        <v>5</v>
      </c>
      <c r="Q184" s="17">
        <f t="shared" si="27"/>
        <v>508822000</v>
      </c>
      <c r="R184" s="17">
        <f t="shared" si="23"/>
        <v>26400</v>
      </c>
      <c r="S184" s="17">
        <f t="shared" si="24"/>
        <v>70550011</v>
      </c>
      <c r="T184" s="17">
        <f t="shared" si="25"/>
        <v>11067139</v>
      </c>
      <c r="U184" s="17">
        <f t="shared" si="26"/>
        <v>11</v>
      </c>
      <c r="V184" s="17">
        <f t="shared" si="28"/>
        <v>11</v>
      </c>
      <c r="W184" s="17"/>
    </row>
    <row r="185" spans="1:23" x14ac:dyDescent="0.35">
      <c r="A185" s="17"/>
      <c r="B185" s="17"/>
      <c r="C185" s="16"/>
      <c r="D185" s="21">
        <v>12</v>
      </c>
      <c r="E185" s="21" t="s">
        <v>435</v>
      </c>
      <c r="F185" s="21">
        <v>1</v>
      </c>
      <c r="G185" s="21">
        <v>0</v>
      </c>
      <c r="H185" s="21">
        <v>0</v>
      </c>
      <c r="I185" s="21">
        <v>0</v>
      </c>
      <c r="J185" s="21">
        <v>0</v>
      </c>
      <c r="K185" s="21" t="s">
        <v>20</v>
      </c>
      <c r="L185" s="22">
        <v>0</v>
      </c>
      <c r="M185" s="21">
        <v>0</v>
      </c>
      <c r="N185" s="21" t="s">
        <v>20</v>
      </c>
      <c r="O185" s="22">
        <v>0</v>
      </c>
      <c r="P185" s="17">
        <v>9</v>
      </c>
      <c r="Q185" s="17">
        <f t="shared" si="27"/>
        <v>108700000</v>
      </c>
      <c r="R185" s="17">
        <f t="shared" si="23"/>
        <v>0</v>
      </c>
      <c r="S185" s="17">
        <f t="shared" si="24"/>
        <v>2000000012</v>
      </c>
      <c r="T185" s="17">
        <f t="shared" si="25"/>
        <v>152151002</v>
      </c>
      <c r="U185" s="17">
        <f t="shared" si="26"/>
        <v>152</v>
      </c>
      <c r="V185" s="17">
        <f t="shared" si="28"/>
        <v>12</v>
      </c>
      <c r="W185" s="17"/>
    </row>
    <row r="186" spans="1:23" x14ac:dyDescent="0.35">
      <c r="A186" s="17"/>
      <c r="B186" s="17"/>
      <c r="C186" s="16" t="s">
        <v>522</v>
      </c>
      <c r="D186" s="18">
        <v>1</v>
      </c>
      <c r="E186" s="18" t="s">
        <v>87</v>
      </c>
      <c r="F186" s="18">
        <v>16</v>
      </c>
      <c r="G186" s="18">
        <v>15</v>
      </c>
      <c r="H186" s="18">
        <v>0</v>
      </c>
      <c r="I186" s="18">
        <v>1</v>
      </c>
      <c r="J186" s="18">
        <v>491</v>
      </c>
      <c r="K186" s="18" t="s">
        <v>20</v>
      </c>
      <c r="L186" s="19">
        <v>321</v>
      </c>
      <c r="M186" s="18">
        <v>30</v>
      </c>
      <c r="N186" s="18" t="s">
        <v>20</v>
      </c>
      <c r="O186" s="19">
        <v>2</v>
      </c>
      <c r="P186" s="17">
        <v>6</v>
      </c>
      <c r="Q186" s="17">
        <f t="shared" si="27"/>
        <v>409875000</v>
      </c>
      <c r="R186" s="17">
        <f t="shared" si="23"/>
        <v>30687</v>
      </c>
      <c r="S186" s="17">
        <f t="shared" si="24"/>
        <v>104937013</v>
      </c>
      <c r="T186" s="17">
        <f t="shared" si="25"/>
        <v>12011003</v>
      </c>
      <c r="U186" s="17">
        <f t="shared" si="26"/>
        <v>12</v>
      </c>
      <c r="V186" s="17">
        <f t="shared" si="28"/>
        <v>13</v>
      </c>
      <c r="W186" s="17" t="str">
        <f>"VL Platz "&amp;D186&amp;" Rang "&amp;(U186-10-2*D186)</f>
        <v>VL Platz 1 Rang 0</v>
      </c>
    </row>
    <row r="187" spans="1:23" x14ac:dyDescent="0.35">
      <c r="A187" s="17"/>
      <c r="B187" s="17"/>
      <c r="C187" s="16"/>
      <c r="D187" s="18">
        <v>2</v>
      </c>
      <c r="E187" s="18" t="s">
        <v>90</v>
      </c>
      <c r="F187" s="18">
        <v>16</v>
      </c>
      <c r="G187" s="18">
        <v>13</v>
      </c>
      <c r="H187" s="18">
        <v>1</v>
      </c>
      <c r="I187" s="18">
        <v>2</v>
      </c>
      <c r="J187" s="18">
        <v>475</v>
      </c>
      <c r="K187" s="18" t="s">
        <v>20</v>
      </c>
      <c r="L187" s="19">
        <v>360</v>
      </c>
      <c r="M187" s="18">
        <v>27</v>
      </c>
      <c r="N187" s="18" t="s">
        <v>20</v>
      </c>
      <c r="O187" s="19">
        <v>5</v>
      </c>
      <c r="P187" s="17">
        <v>6</v>
      </c>
      <c r="Q187" s="17">
        <f t="shared" si="27"/>
        <v>409767500</v>
      </c>
      <c r="R187" s="17">
        <f t="shared" si="23"/>
        <v>29687</v>
      </c>
      <c r="S187" s="17">
        <f t="shared" si="24"/>
        <v>102500014</v>
      </c>
      <c r="T187" s="17">
        <f t="shared" si="25"/>
        <v>14019008</v>
      </c>
      <c r="U187" s="17">
        <f t="shared" si="26"/>
        <v>14</v>
      </c>
      <c r="V187" s="17">
        <f t="shared" si="28"/>
        <v>14</v>
      </c>
      <c r="W187" s="17" t="str">
        <f t="shared" ref="W187:W205" si="29">"VL Platz "&amp;D187&amp;" Rang "&amp;(U187-10-2*D187)</f>
        <v>VL Platz 2 Rang 0</v>
      </c>
    </row>
    <row r="188" spans="1:23" x14ac:dyDescent="0.35">
      <c r="A188" s="17"/>
      <c r="B188" s="17"/>
      <c r="C188" s="16"/>
      <c r="D188" s="18">
        <v>3</v>
      </c>
      <c r="E188" s="18" t="s">
        <v>97</v>
      </c>
      <c r="F188" s="18">
        <v>16</v>
      </c>
      <c r="G188" s="18">
        <v>8</v>
      </c>
      <c r="H188" s="18">
        <v>2</v>
      </c>
      <c r="I188" s="18">
        <v>6</v>
      </c>
      <c r="J188" s="18">
        <v>414</v>
      </c>
      <c r="K188" s="18" t="s">
        <v>20</v>
      </c>
      <c r="L188" s="19">
        <v>425</v>
      </c>
      <c r="M188" s="18">
        <v>18</v>
      </c>
      <c r="N188" s="18" t="s">
        <v>20</v>
      </c>
      <c r="O188" s="19">
        <v>14</v>
      </c>
      <c r="P188" s="17">
        <v>6</v>
      </c>
      <c r="Q188" s="17">
        <f t="shared" si="27"/>
        <v>409645000</v>
      </c>
      <c r="R188" s="17">
        <f t="shared" si="23"/>
        <v>25875</v>
      </c>
      <c r="S188" s="17">
        <f t="shared" si="24"/>
        <v>98437015</v>
      </c>
      <c r="T188" s="17">
        <f t="shared" si="25"/>
        <v>17079021</v>
      </c>
      <c r="U188" s="17">
        <f t="shared" si="26"/>
        <v>17</v>
      </c>
      <c r="V188" s="17">
        <f t="shared" si="28"/>
        <v>15</v>
      </c>
      <c r="W188" s="17" t="str">
        <f t="shared" si="29"/>
        <v>VL Platz 3 Rang 1</v>
      </c>
    </row>
    <row r="189" spans="1:23" x14ac:dyDescent="0.35">
      <c r="A189" s="17"/>
      <c r="B189" s="17"/>
      <c r="C189" s="16"/>
      <c r="D189" s="18">
        <v>4</v>
      </c>
      <c r="E189" s="18" t="s">
        <v>19</v>
      </c>
      <c r="F189" s="18">
        <v>16</v>
      </c>
      <c r="G189" s="18">
        <v>9</v>
      </c>
      <c r="H189" s="18">
        <v>0</v>
      </c>
      <c r="I189" s="18">
        <v>7</v>
      </c>
      <c r="J189" s="18">
        <v>459</v>
      </c>
      <c r="K189" s="18" t="s">
        <v>20</v>
      </c>
      <c r="L189" s="19">
        <v>411</v>
      </c>
      <c r="M189" s="18">
        <v>18</v>
      </c>
      <c r="N189" s="18" t="s">
        <v>20</v>
      </c>
      <c r="O189" s="19">
        <v>14</v>
      </c>
      <c r="P189" s="17">
        <v>6</v>
      </c>
      <c r="Q189" s="17">
        <f t="shared" si="27"/>
        <v>409545000</v>
      </c>
      <c r="R189" s="17">
        <f t="shared" si="23"/>
        <v>28687</v>
      </c>
      <c r="S189" s="17">
        <f t="shared" si="24"/>
        <v>99312016</v>
      </c>
      <c r="T189" s="17">
        <f t="shared" si="25"/>
        <v>19032018</v>
      </c>
      <c r="U189" s="17">
        <f t="shared" si="26"/>
        <v>19</v>
      </c>
      <c r="V189" s="17">
        <f t="shared" si="28"/>
        <v>16</v>
      </c>
      <c r="W189" s="17" t="str">
        <f t="shared" si="29"/>
        <v>VL Platz 4 Rang 1</v>
      </c>
    </row>
    <row r="190" spans="1:23" x14ac:dyDescent="0.35">
      <c r="A190" s="17"/>
      <c r="B190" s="17"/>
      <c r="C190" s="16"/>
      <c r="D190" s="18">
        <v>5</v>
      </c>
      <c r="E190" s="18" t="s">
        <v>164</v>
      </c>
      <c r="F190" s="18">
        <v>16</v>
      </c>
      <c r="G190" s="18">
        <v>8</v>
      </c>
      <c r="H190" s="18">
        <v>1</v>
      </c>
      <c r="I190" s="18">
        <v>7</v>
      </c>
      <c r="J190" s="18">
        <v>440</v>
      </c>
      <c r="K190" s="18" t="s">
        <v>20</v>
      </c>
      <c r="L190" s="19">
        <v>424</v>
      </c>
      <c r="M190" s="18">
        <v>17</v>
      </c>
      <c r="N190" s="18" t="s">
        <v>20</v>
      </c>
      <c r="O190" s="19">
        <v>15</v>
      </c>
      <c r="P190" s="17">
        <v>6</v>
      </c>
      <c r="Q190" s="17">
        <f t="shared" si="27"/>
        <v>409442500</v>
      </c>
      <c r="R190" s="17">
        <f t="shared" si="23"/>
        <v>27500</v>
      </c>
      <c r="S190" s="17">
        <f t="shared" si="24"/>
        <v>98500017</v>
      </c>
      <c r="T190" s="17">
        <f t="shared" si="25"/>
        <v>20050020</v>
      </c>
      <c r="U190" s="17">
        <f t="shared" si="26"/>
        <v>20</v>
      </c>
      <c r="V190" s="17">
        <f t="shared" si="28"/>
        <v>17</v>
      </c>
      <c r="W190" s="17" t="str">
        <f t="shared" si="29"/>
        <v>VL Platz 5 Rang 0</v>
      </c>
    </row>
    <row r="191" spans="1:23" x14ac:dyDescent="0.35">
      <c r="A191" s="17"/>
      <c r="B191" s="17"/>
      <c r="C191" s="16"/>
      <c r="D191" s="18">
        <v>6</v>
      </c>
      <c r="E191" s="18" t="s">
        <v>163</v>
      </c>
      <c r="F191" s="18">
        <v>16</v>
      </c>
      <c r="G191" s="18">
        <v>8</v>
      </c>
      <c r="H191" s="18">
        <v>0</v>
      </c>
      <c r="I191" s="18">
        <v>8</v>
      </c>
      <c r="J191" s="18">
        <v>465</v>
      </c>
      <c r="K191" s="18" t="s">
        <v>20</v>
      </c>
      <c r="L191" s="19">
        <v>494</v>
      </c>
      <c r="M191" s="18">
        <v>16</v>
      </c>
      <c r="N191" s="18" t="s">
        <v>20</v>
      </c>
      <c r="O191" s="19">
        <v>16</v>
      </c>
      <c r="P191" s="17">
        <v>6</v>
      </c>
      <c r="Q191" s="17">
        <f t="shared" si="27"/>
        <v>409340000</v>
      </c>
      <c r="R191" s="17">
        <f t="shared" si="23"/>
        <v>29062</v>
      </c>
      <c r="S191" s="17">
        <f t="shared" si="24"/>
        <v>94125018</v>
      </c>
      <c r="T191" s="17">
        <f t="shared" si="25"/>
        <v>22026027</v>
      </c>
      <c r="U191" s="17">
        <f t="shared" si="26"/>
        <v>22</v>
      </c>
      <c r="V191" s="17">
        <f t="shared" si="28"/>
        <v>18</v>
      </c>
      <c r="W191" s="17" t="str">
        <f t="shared" si="29"/>
        <v>VL Platz 6 Rang 0</v>
      </c>
    </row>
    <row r="192" spans="1:23" x14ac:dyDescent="0.35">
      <c r="A192" s="17"/>
      <c r="B192" s="17"/>
      <c r="C192" s="16"/>
      <c r="D192" s="18">
        <v>7</v>
      </c>
      <c r="E192" s="18" t="s">
        <v>165</v>
      </c>
      <c r="F192" s="18">
        <v>16</v>
      </c>
      <c r="G192" s="18">
        <v>5</v>
      </c>
      <c r="H192" s="18">
        <v>0</v>
      </c>
      <c r="I192" s="18">
        <v>11</v>
      </c>
      <c r="J192" s="18">
        <v>384</v>
      </c>
      <c r="K192" s="18" t="s">
        <v>20</v>
      </c>
      <c r="L192" s="19">
        <v>438</v>
      </c>
      <c r="M192" s="18">
        <v>10</v>
      </c>
      <c r="N192" s="18" t="s">
        <v>20</v>
      </c>
      <c r="O192" s="19">
        <v>22</v>
      </c>
      <c r="P192" s="17">
        <v>6</v>
      </c>
      <c r="Q192" s="17">
        <f t="shared" si="27"/>
        <v>409225000</v>
      </c>
      <c r="R192" s="17">
        <f t="shared" si="23"/>
        <v>24000</v>
      </c>
      <c r="S192" s="17">
        <f t="shared" si="24"/>
        <v>97625019</v>
      </c>
      <c r="T192" s="17">
        <f t="shared" si="25"/>
        <v>25104022</v>
      </c>
      <c r="U192" s="17">
        <f t="shared" si="26"/>
        <v>25</v>
      </c>
      <c r="V192" s="17">
        <f t="shared" si="28"/>
        <v>19</v>
      </c>
      <c r="W192" s="17" t="str">
        <f t="shared" si="29"/>
        <v>VL Platz 7 Rang 1</v>
      </c>
    </row>
    <row r="193" spans="1:23" x14ac:dyDescent="0.35">
      <c r="A193" s="17"/>
      <c r="B193" s="17"/>
      <c r="C193" s="16"/>
      <c r="D193" s="18">
        <v>8</v>
      </c>
      <c r="E193" s="18" t="s">
        <v>101</v>
      </c>
      <c r="F193" s="18">
        <v>16</v>
      </c>
      <c r="G193" s="18">
        <v>2</v>
      </c>
      <c r="H193" s="18">
        <v>0</v>
      </c>
      <c r="I193" s="18">
        <v>14</v>
      </c>
      <c r="J193" s="18">
        <v>358</v>
      </c>
      <c r="K193" s="18" t="s">
        <v>20</v>
      </c>
      <c r="L193" s="19">
        <v>482</v>
      </c>
      <c r="M193" s="18">
        <v>4</v>
      </c>
      <c r="N193" s="18" t="s">
        <v>20</v>
      </c>
      <c r="O193" s="19">
        <v>28</v>
      </c>
      <c r="P193" s="17">
        <v>6</v>
      </c>
      <c r="Q193" s="17">
        <f t="shared" si="27"/>
        <v>409110000</v>
      </c>
      <c r="R193" s="17">
        <f t="shared" si="23"/>
        <v>22375</v>
      </c>
      <c r="S193" s="17">
        <f t="shared" si="24"/>
        <v>94875020</v>
      </c>
      <c r="T193" s="17">
        <f t="shared" si="25"/>
        <v>27130026</v>
      </c>
      <c r="U193" s="17">
        <f t="shared" si="26"/>
        <v>27</v>
      </c>
      <c r="V193" s="17">
        <f t="shared" si="28"/>
        <v>20</v>
      </c>
      <c r="W193" s="17" t="str">
        <f t="shared" si="29"/>
        <v>VL Platz 8 Rang 1</v>
      </c>
    </row>
    <row r="194" spans="1:23" x14ac:dyDescent="0.35">
      <c r="A194" s="17"/>
      <c r="B194" s="17"/>
      <c r="C194" s="16"/>
      <c r="D194" s="18">
        <v>9</v>
      </c>
      <c r="E194" s="18" t="s">
        <v>91</v>
      </c>
      <c r="F194" s="18">
        <v>16</v>
      </c>
      <c r="G194" s="18">
        <v>2</v>
      </c>
      <c r="H194" s="18">
        <v>0</v>
      </c>
      <c r="I194" s="18">
        <v>14</v>
      </c>
      <c r="J194" s="18">
        <v>364</v>
      </c>
      <c r="K194" s="18" t="s">
        <v>20</v>
      </c>
      <c r="L194" s="19">
        <v>495</v>
      </c>
      <c r="M194" s="18">
        <v>4</v>
      </c>
      <c r="N194" s="18" t="s">
        <v>20</v>
      </c>
      <c r="O194" s="19">
        <v>28</v>
      </c>
      <c r="P194" s="17">
        <v>6</v>
      </c>
      <c r="Q194" s="17">
        <f t="shared" si="27"/>
        <v>409010000</v>
      </c>
      <c r="R194" s="17">
        <f t="shared" si="23"/>
        <v>22750</v>
      </c>
      <c r="S194" s="17">
        <f t="shared" si="24"/>
        <v>94062021</v>
      </c>
      <c r="T194" s="17">
        <f t="shared" si="25"/>
        <v>29128028</v>
      </c>
      <c r="U194" s="17">
        <f t="shared" si="26"/>
        <v>29</v>
      </c>
      <c r="V194" s="17">
        <f t="shared" si="28"/>
        <v>21</v>
      </c>
      <c r="W194" s="17" t="str">
        <f t="shared" si="29"/>
        <v>VL Platz 9 Rang 1</v>
      </c>
    </row>
    <row r="195" spans="1:23" x14ac:dyDescent="0.35">
      <c r="A195" s="17"/>
      <c r="B195" s="17"/>
      <c r="C195" s="16"/>
      <c r="D195" s="21">
        <v>10</v>
      </c>
      <c r="E195" s="21" t="s">
        <v>560</v>
      </c>
      <c r="F195" s="21">
        <v>1</v>
      </c>
      <c r="G195" s="21">
        <v>0</v>
      </c>
      <c r="H195" s="21">
        <v>0</v>
      </c>
      <c r="I195" s="21">
        <v>0</v>
      </c>
      <c r="J195" s="21">
        <v>0</v>
      </c>
      <c r="K195" s="21" t="s">
        <v>20</v>
      </c>
      <c r="L195" s="22">
        <v>0</v>
      </c>
      <c r="M195" s="21">
        <v>0</v>
      </c>
      <c r="N195" s="21" t="s">
        <v>20</v>
      </c>
      <c r="O195" s="22">
        <v>0</v>
      </c>
      <c r="P195" s="102">
        <v>9</v>
      </c>
      <c r="Q195" s="17">
        <f t="shared" si="27"/>
        <v>108900000</v>
      </c>
      <c r="R195" s="17">
        <f t="shared" si="23"/>
        <v>0</v>
      </c>
      <c r="S195" s="17">
        <f t="shared" si="24"/>
        <v>2000000022</v>
      </c>
      <c r="T195" s="17">
        <f t="shared" si="25"/>
        <v>151151001</v>
      </c>
      <c r="U195" s="17">
        <f t="shared" si="26"/>
        <v>151</v>
      </c>
      <c r="V195" s="17">
        <f t="shared" si="28"/>
        <v>22</v>
      </c>
      <c r="W195" s="17" t="str">
        <f t="shared" si="29"/>
        <v>VL Platz 10 Rang 121</v>
      </c>
    </row>
    <row r="196" spans="1:23" x14ac:dyDescent="0.35">
      <c r="A196" s="17"/>
      <c r="B196" s="17"/>
      <c r="C196" s="16" t="s">
        <v>523</v>
      </c>
      <c r="D196" s="18">
        <v>1</v>
      </c>
      <c r="E196" s="18" t="s">
        <v>167</v>
      </c>
      <c r="F196" s="18">
        <v>18</v>
      </c>
      <c r="G196" s="18">
        <v>13</v>
      </c>
      <c r="H196" s="18">
        <v>2</v>
      </c>
      <c r="I196" s="18">
        <v>3</v>
      </c>
      <c r="J196" s="18">
        <v>497</v>
      </c>
      <c r="K196" s="18" t="s">
        <v>20</v>
      </c>
      <c r="L196" s="19">
        <v>429</v>
      </c>
      <c r="M196" s="18">
        <v>28</v>
      </c>
      <c r="N196" s="18" t="s">
        <v>20</v>
      </c>
      <c r="O196" s="19">
        <v>8</v>
      </c>
      <c r="P196" s="17">
        <v>6</v>
      </c>
      <c r="Q196" s="17">
        <f t="shared" si="27"/>
        <v>409862222</v>
      </c>
      <c r="R196" s="17">
        <f t="shared" si="23"/>
        <v>27611</v>
      </c>
      <c r="S196" s="17">
        <f t="shared" si="24"/>
        <v>87277023</v>
      </c>
      <c r="T196" s="17">
        <f t="shared" si="25"/>
        <v>13046054</v>
      </c>
      <c r="U196" s="17">
        <f t="shared" si="26"/>
        <v>13</v>
      </c>
      <c r="V196" s="17">
        <f t="shared" si="28"/>
        <v>23</v>
      </c>
      <c r="W196" s="17" t="str">
        <f t="shared" si="29"/>
        <v>VL Platz 1 Rang 1</v>
      </c>
    </row>
    <row r="197" spans="1:23" x14ac:dyDescent="0.35">
      <c r="A197" s="17"/>
      <c r="B197" s="17"/>
      <c r="C197" s="16"/>
      <c r="D197" s="18">
        <v>2</v>
      </c>
      <c r="E197" s="18" t="s">
        <v>25</v>
      </c>
      <c r="F197" s="18">
        <v>18</v>
      </c>
      <c r="G197" s="18">
        <v>14</v>
      </c>
      <c r="H197" s="18">
        <v>0</v>
      </c>
      <c r="I197" s="18">
        <v>4</v>
      </c>
      <c r="J197" s="18">
        <v>536</v>
      </c>
      <c r="K197" s="18" t="s">
        <v>20</v>
      </c>
      <c r="L197" s="19">
        <v>486</v>
      </c>
      <c r="M197" s="18">
        <v>28</v>
      </c>
      <c r="N197" s="18" t="s">
        <v>20</v>
      </c>
      <c r="O197" s="19">
        <v>8</v>
      </c>
      <c r="P197" s="17">
        <v>6</v>
      </c>
      <c r="Q197" s="17">
        <f t="shared" si="27"/>
        <v>409762222</v>
      </c>
      <c r="R197" s="17">
        <f t="shared" si="23"/>
        <v>29777</v>
      </c>
      <c r="S197" s="17">
        <f t="shared" si="24"/>
        <v>84111024</v>
      </c>
      <c r="T197" s="17">
        <f t="shared" si="25"/>
        <v>15017085</v>
      </c>
      <c r="U197" s="17">
        <f t="shared" si="26"/>
        <v>15</v>
      </c>
      <c r="V197" s="17">
        <f t="shared" si="28"/>
        <v>24</v>
      </c>
      <c r="W197" s="17" t="str">
        <f t="shared" si="29"/>
        <v>VL Platz 2 Rang 1</v>
      </c>
    </row>
    <row r="198" spans="1:23" x14ac:dyDescent="0.35">
      <c r="A198" s="17"/>
      <c r="B198" s="17"/>
      <c r="C198" s="16"/>
      <c r="D198" s="18">
        <v>3</v>
      </c>
      <c r="E198" s="18" t="s">
        <v>152</v>
      </c>
      <c r="F198" s="18">
        <v>18</v>
      </c>
      <c r="G198" s="18">
        <v>12</v>
      </c>
      <c r="H198" s="18">
        <v>0</v>
      </c>
      <c r="I198" s="18">
        <v>6</v>
      </c>
      <c r="J198" s="18">
        <v>505</v>
      </c>
      <c r="K198" s="18" t="s">
        <v>20</v>
      </c>
      <c r="L198" s="19">
        <v>452</v>
      </c>
      <c r="M198" s="18">
        <v>24</v>
      </c>
      <c r="N198" s="18" t="s">
        <v>20</v>
      </c>
      <c r="O198" s="19">
        <v>12</v>
      </c>
      <c r="P198" s="17">
        <v>6</v>
      </c>
      <c r="Q198" s="17">
        <f t="shared" si="27"/>
        <v>409653333</v>
      </c>
      <c r="R198" s="17">
        <f t="shared" si="23"/>
        <v>28055</v>
      </c>
      <c r="S198" s="17">
        <f t="shared" si="24"/>
        <v>86000025</v>
      </c>
      <c r="T198" s="17">
        <f t="shared" si="25"/>
        <v>16036069</v>
      </c>
      <c r="U198" s="17">
        <f t="shared" si="26"/>
        <v>16</v>
      </c>
      <c r="V198" s="17">
        <f t="shared" si="28"/>
        <v>25</v>
      </c>
      <c r="W198" s="17" t="str">
        <f t="shared" si="29"/>
        <v>VL Platz 3 Rang 0</v>
      </c>
    </row>
    <row r="199" spans="1:23" x14ac:dyDescent="0.35">
      <c r="A199" s="17"/>
      <c r="B199" s="17"/>
      <c r="C199" s="16"/>
      <c r="D199" s="18">
        <v>4</v>
      </c>
      <c r="E199" s="18" t="s">
        <v>110</v>
      </c>
      <c r="F199" s="18">
        <v>18</v>
      </c>
      <c r="G199" s="18">
        <v>10</v>
      </c>
      <c r="H199" s="18">
        <v>1</v>
      </c>
      <c r="I199" s="18">
        <v>7</v>
      </c>
      <c r="J199" s="18">
        <v>499</v>
      </c>
      <c r="K199" s="18" t="s">
        <v>20</v>
      </c>
      <c r="L199" s="19">
        <v>514</v>
      </c>
      <c r="M199" s="18">
        <v>21</v>
      </c>
      <c r="N199" s="18" t="s">
        <v>20</v>
      </c>
      <c r="O199" s="19">
        <v>15</v>
      </c>
      <c r="P199" s="17">
        <v>6</v>
      </c>
      <c r="Q199" s="17">
        <f t="shared" si="27"/>
        <v>409546666</v>
      </c>
      <c r="R199" s="17">
        <f t="shared" si="23"/>
        <v>27722</v>
      </c>
      <c r="S199" s="17">
        <f t="shared" si="24"/>
        <v>82555026</v>
      </c>
      <c r="T199" s="17">
        <f t="shared" si="25"/>
        <v>18044110</v>
      </c>
      <c r="U199" s="17">
        <f t="shared" si="26"/>
        <v>18</v>
      </c>
      <c r="V199" s="17">
        <f t="shared" si="28"/>
        <v>26</v>
      </c>
      <c r="W199" s="17" t="str">
        <f t="shared" si="29"/>
        <v>VL Platz 4 Rang 0</v>
      </c>
    </row>
    <row r="200" spans="1:23" x14ac:dyDescent="0.35">
      <c r="A200" s="17"/>
      <c r="B200" s="17"/>
      <c r="C200" s="16"/>
      <c r="D200" s="18">
        <v>5</v>
      </c>
      <c r="E200" s="18" t="s">
        <v>115</v>
      </c>
      <c r="F200" s="18">
        <v>18</v>
      </c>
      <c r="G200" s="18">
        <v>8</v>
      </c>
      <c r="H200" s="18">
        <v>1</v>
      </c>
      <c r="I200" s="18">
        <v>9</v>
      </c>
      <c r="J200" s="18">
        <v>544</v>
      </c>
      <c r="K200" s="18" t="s">
        <v>20</v>
      </c>
      <c r="L200" s="19">
        <v>524</v>
      </c>
      <c r="M200" s="18">
        <v>17</v>
      </c>
      <c r="N200" s="18" t="s">
        <v>20</v>
      </c>
      <c r="O200" s="19">
        <v>19</v>
      </c>
      <c r="P200" s="17">
        <v>6</v>
      </c>
      <c r="Q200" s="17">
        <f t="shared" si="27"/>
        <v>409437777</v>
      </c>
      <c r="R200" s="17">
        <f t="shared" si="23"/>
        <v>30222</v>
      </c>
      <c r="S200" s="17">
        <f t="shared" si="24"/>
        <v>82000027</v>
      </c>
      <c r="T200" s="17">
        <f t="shared" si="25"/>
        <v>21014116</v>
      </c>
      <c r="U200" s="17">
        <f t="shared" si="26"/>
        <v>21</v>
      </c>
      <c r="V200" s="17">
        <f t="shared" si="28"/>
        <v>27</v>
      </c>
      <c r="W200" s="17" t="str">
        <f t="shared" si="29"/>
        <v>VL Platz 5 Rang 1</v>
      </c>
    </row>
    <row r="201" spans="1:23" x14ac:dyDescent="0.35">
      <c r="A201" s="17"/>
      <c r="B201" s="17"/>
      <c r="C201" s="16"/>
      <c r="D201" s="18">
        <v>6</v>
      </c>
      <c r="E201" s="18" t="s">
        <v>102</v>
      </c>
      <c r="F201" s="18">
        <v>18</v>
      </c>
      <c r="G201" s="18">
        <v>7</v>
      </c>
      <c r="H201" s="18">
        <v>1</v>
      </c>
      <c r="I201" s="18">
        <v>10</v>
      </c>
      <c r="J201" s="18">
        <v>521</v>
      </c>
      <c r="K201" s="18" t="s">
        <v>20</v>
      </c>
      <c r="L201" s="19">
        <v>547</v>
      </c>
      <c r="M201" s="18">
        <v>15</v>
      </c>
      <c r="N201" s="18" t="s">
        <v>20</v>
      </c>
      <c r="O201" s="19">
        <v>21</v>
      </c>
      <c r="P201" s="17">
        <v>6</v>
      </c>
      <c r="Q201" s="17">
        <f t="shared" si="27"/>
        <v>409333333</v>
      </c>
      <c r="R201" s="17">
        <f t="shared" si="23"/>
        <v>28944</v>
      </c>
      <c r="S201" s="17">
        <f t="shared" si="24"/>
        <v>80722028</v>
      </c>
      <c r="T201" s="17">
        <f t="shared" si="25"/>
        <v>23027124</v>
      </c>
      <c r="U201" s="17">
        <f t="shared" si="26"/>
        <v>23</v>
      </c>
      <c r="V201" s="17">
        <f t="shared" si="28"/>
        <v>28</v>
      </c>
      <c r="W201" s="17" t="str">
        <f t="shared" si="29"/>
        <v>VL Platz 6 Rang 1</v>
      </c>
    </row>
    <row r="202" spans="1:23" x14ac:dyDescent="0.35">
      <c r="A202" s="17"/>
      <c r="B202" s="17"/>
      <c r="C202" s="16"/>
      <c r="D202" s="18">
        <v>7</v>
      </c>
      <c r="E202" s="18" t="s">
        <v>168</v>
      </c>
      <c r="F202" s="18">
        <v>18</v>
      </c>
      <c r="G202" s="18">
        <v>6</v>
      </c>
      <c r="H202" s="18">
        <v>2</v>
      </c>
      <c r="I202" s="18">
        <v>10</v>
      </c>
      <c r="J202" s="18">
        <v>524</v>
      </c>
      <c r="K202" s="18" t="s">
        <v>20</v>
      </c>
      <c r="L202" s="19">
        <v>511</v>
      </c>
      <c r="M202" s="18">
        <v>14</v>
      </c>
      <c r="N202" s="18" t="s">
        <v>20</v>
      </c>
      <c r="O202" s="19">
        <v>22</v>
      </c>
      <c r="P202" s="17">
        <v>6</v>
      </c>
      <c r="Q202" s="17">
        <f t="shared" si="27"/>
        <v>409231111</v>
      </c>
      <c r="R202" s="17">
        <f t="shared" si="23"/>
        <v>29111</v>
      </c>
      <c r="S202" s="17">
        <f t="shared" si="24"/>
        <v>82722029</v>
      </c>
      <c r="T202" s="17">
        <f t="shared" si="25"/>
        <v>24024108</v>
      </c>
      <c r="U202" s="17">
        <f t="shared" si="26"/>
        <v>24</v>
      </c>
      <c r="V202" s="17">
        <f t="shared" si="28"/>
        <v>29</v>
      </c>
      <c r="W202" s="17" t="str">
        <f t="shared" si="29"/>
        <v>VL Platz 7 Rang 0</v>
      </c>
    </row>
    <row r="203" spans="1:23" x14ac:dyDescent="0.35">
      <c r="A203" s="17"/>
      <c r="B203" s="17"/>
      <c r="C203" s="16"/>
      <c r="D203" s="18">
        <v>8</v>
      </c>
      <c r="E203" s="18" t="s">
        <v>111</v>
      </c>
      <c r="F203" s="18">
        <v>18</v>
      </c>
      <c r="G203" s="18">
        <v>6</v>
      </c>
      <c r="H203" s="18">
        <v>1</v>
      </c>
      <c r="I203" s="18">
        <v>11</v>
      </c>
      <c r="J203" s="18">
        <v>486</v>
      </c>
      <c r="K203" s="18" t="s">
        <v>20</v>
      </c>
      <c r="L203" s="19">
        <v>508</v>
      </c>
      <c r="M203" s="18">
        <v>13</v>
      </c>
      <c r="N203" s="18" t="s">
        <v>20</v>
      </c>
      <c r="O203" s="19">
        <v>23</v>
      </c>
      <c r="P203" s="17">
        <v>6</v>
      </c>
      <c r="Q203" s="17">
        <f t="shared" si="27"/>
        <v>409128888</v>
      </c>
      <c r="R203" s="17">
        <f t="shared" si="23"/>
        <v>27000</v>
      </c>
      <c r="S203" s="17">
        <f t="shared" si="24"/>
        <v>82888030</v>
      </c>
      <c r="T203" s="17">
        <f t="shared" si="25"/>
        <v>26058102</v>
      </c>
      <c r="U203" s="17">
        <f t="shared" si="26"/>
        <v>26</v>
      </c>
      <c r="V203" s="17">
        <f t="shared" si="28"/>
        <v>30</v>
      </c>
      <c r="W203" s="17" t="str">
        <f t="shared" si="29"/>
        <v>VL Platz 8 Rang 0</v>
      </c>
    </row>
    <row r="204" spans="1:23" x14ac:dyDescent="0.35">
      <c r="A204" s="17"/>
      <c r="B204" s="17"/>
      <c r="C204" s="16"/>
      <c r="D204" s="18">
        <v>9</v>
      </c>
      <c r="E204" s="18" t="s">
        <v>169</v>
      </c>
      <c r="F204" s="18">
        <v>18</v>
      </c>
      <c r="G204" s="18">
        <v>5</v>
      </c>
      <c r="H204" s="18">
        <v>1</v>
      </c>
      <c r="I204" s="18">
        <v>12</v>
      </c>
      <c r="J204" s="18">
        <v>439</v>
      </c>
      <c r="K204" s="18" t="s">
        <v>20</v>
      </c>
      <c r="L204" s="19">
        <v>525</v>
      </c>
      <c r="M204" s="18">
        <v>11</v>
      </c>
      <c r="N204" s="18" t="s">
        <v>20</v>
      </c>
      <c r="O204" s="19">
        <v>25</v>
      </c>
      <c r="P204" s="17">
        <v>6</v>
      </c>
      <c r="Q204" s="17">
        <f t="shared" si="27"/>
        <v>409024444</v>
      </c>
      <c r="R204" s="17">
        <f t="shared" si="23"/>
        <v>24388</v>
      </c>
      <c r="S204" s="17">
        <f t="shared" si="24"/>
        <v>81944031</v>
      </c>
      <c r="T204" s="17">
        <f t="shared" si="25"/>
        <v>28098117</v>
      </c>
      <c r="U204" s="17">
        <f t="shared" si="26"/>
        <v>28</v>
      </c>
      <c r="V204" s="17">
        <f t="shared" si="28"/>
        <v>31</v>
      </c>
      <c r="W204" s="17" t="str">
        <f t="shared" si="29"/>
        <v>VL Platz 9 Rang 0</v>
      </c>
    </row>
    <row r="205" spans="1:23" x14ac:dyDescent="0.35">
      <c r="A205" s="17"/>
      <c r="B205" s="17"/>
      <c r="C205" s="16"/>
      <c r="D205" s="18">
        <v>10</v>
      </c>
      <c r="E205" s="18" t="s">
        <v>119</v>
      </c>
      <c r="F205" s="18">
        <v>18</v>
      </c>
      <c r="G205" s="18">
        <v>4</v>
      </c>
      <c r="H205" s="18">
        <v>1</v>
      </c>
      <c r="I205" s="18">
        <v>13</v>
      </c>
      <c r="J205" s="18">
        <v>459</v>
      </c>
      <c r="K205" s="18" t="s">
        <v>20</v>
      </c>
      <c r="L205" s="19">
        <v>514</v>
      </c>
      <c r="M205" s="18">
        <v>9</v>
      </c>
      <c r="N205" s="18" t="s">
        <v>20</v>
      </c>
      <c r="O205" s="19">
        <v>27</v>
      </c>
      <c r="P205" s="17">
        <v>6</v>
      </c>
      <c r="Q205" s="17">
        <f t="shared" si="27"/>
        <v>408920000</v>
      </c>
      <c r="R205" s="17">
        <f t="shared" si="23"/>
        <v>25500</v>
      </c>
      <c r="S205" s="17">
        <f t="shared" si="24"/>
        <v>82555032</v>
      </c>
      <c r="T205" s="17">
        <f t="shared" si="25"/>
        <v>30085109</v>
      </c>
      <c r="U205" s="17">
        <f t="shared" si="26"/>
        <v>30</v>
      </c>
      <c r="V205" s="17">
        <f t="shared" si="28"/>
        <v>32</v>
      </c>
      <c r="W205" s="17" t="str">
        <f t="shared" si="29"/>
        <v>VL Platz 10 Rang 0</v>
      </c>
    </row>
    <row r="206" spans="1:23" x14ac:dyDescent="0.35">
      <c r="A206" s="17"/>
      <c r="B206" s="17"/>
      <c r="C206" s="16" t="s">
        <v>524</v>
      </c>
      <c r="D206" s="18">
        <v>1</v>
      </c>
      <c r="E206" s="18" t="s">
        <v>130</v>
      </c>
      <c r="F206" s="18">
        <v>18</v>
      </c>
      <c r="G206" s="18">
        <v>16</v>
      </c>
      <c r="H206" s="18">
        <v>2</v>
      </c>
      <c r="I206" s="18">
        <v>0</v>
      </c>
      <c r="J206" s="18">
        <v>580</v>
      </c>
      <c r="K206" s="18" t="s">
        <v>20</v>
      </c>
      <c r="L206" s="19">
        <v>417</v>
      </c>
      <c r="M206" s="18">
        <v>34</v>
      </c>
      <c r="N206" s="18" t="s">
        <v>20</v>
      </c>
      <c r="O206" s="19">
        <v>2</v>
      </c>
      <c r="P206" s="17">
        <v>7</v>
      </c>
      <c r="Q206" s="17">
        <f t="shared" si="27"/>
        <v>309875555</v>
      </c>
      <c r="R206" s="17">
        <f t="shared" si="23"/>
        <v>32222</v>
      </c>
      <c r="S206" s="17">
        <f t="shared" si="24"/>
        <v>87944033</v>
      </c>
      <c r="T206" s="17">
        <f t="shared" ref="T206:T237" si="30">RANK(S206,S$174:S$325)+1000*RANK(R206,R$174:R$325)+1000000*RANK(Q206,Q$174:Q$325)</f>
        <v>32003046</v>
      </c>
      <c r="U206" s="17">
        <f t="shared" ref="U206:U237" si="31">RANK(T206,T$174:T$325,1)</f>
        <v>32</v>
      </c>
      <c r="V206" s="17">
        <f t="shared" si="28"/>
        <v>33</v>
      </c>
      <c r="W206" s="17" t="str">
        <f>"LL Platz "&amp;D206&amp;" Rang "&amp;(U206-28-4*D206)</f>
        <v>LL Platz 1 Rang 0</v>
      </c>
    </row>
    <row r="207" spans="1:23" x14ac:dyDescent="0.35">
      <c r="A207" s="17"/>
      <c r="B207" s="17"/>
      <c r="C207" s="16"/>
      <c r="D207" s="18">
        <v>2</v>
      </c>
      <c r="E207" s="18" t="s">
        <v>170</v>
      </c>
      <c r="F207" s="18">
        <v>18</v>
      </c>
      <c r="G207" s="18">
        <v>15</v>
      </c>
      <c r="H207" s="18">
        <v>1</v>
      </c>
      <c r="I207" s="18">
        <v>2</v>
      </c>
      <c r="J207" s="18">
        <v>597</v>
      </c>
      <c r="K207" s="18" t="s">
        <v>20</v>
      </c>
      <c r="L207" s="19">
        <v>443</v>
      </c>
      <c r="M207" s="18">
        <v>31</v>
      </c>
      <c r="N207" s="18" t="s">
        <v>20</v>
      </c>
      <c r="O207" s="19">
        <v>5</v>
      </c>
      <c r="P207" s="17">
        <v>7</v>
      </c>
      <c r="Q207" s="17">
        <f t="shared" si="27"/>
        <v>309768888</v>
      </c>
      <c r="R207" s="17">
        <f t="shared" si="23"/>
        <v>33166</v>
      </c>
      <c r="S207" s="17">
        <f t="shared" si="24"/>
        <v>86500034</v>
      </c>
      <c r="T207" s="17">
        <f t="shared" si="30"/>
        <v>35002060</v>
      </c>
      <c r="U207" s="17">
        <f t="shared" si="31"/>
        <v>35</v>
      </c>
      <c r="V207" s="17">
        <f t="shared" si="28"/>
        <v>34</v>
      </c>
      <c r="W207" s="17" t="str">
        <f t="shared" ref="W207:W245" si="32">"LL Platz "&amp;D207&amp;" Rang "&amp;(U207-28-4*D207)</f>
        <v>LL Platz 2 Rang -1</v>
      </c>
    </row>
    <row r="208" spans="1:23" x14ac:dyDescent="0.35">
      <c r="A208" s="17"/>
      <c r="B208" s="17"/>
      <c r="C208" s="16"/>
      <c r="D208" s="18">
        <v>3</v>
      </c>
      <c r="E208" s="18" t="s">
        <v>171</v>
      </c>
      <c r="F208" s="18">
        <v>18</v>
      </c>
      <c r="G208" s="18">
        <v>11</v>
      </c>
      <c r="H208" s="18">
        <v>0</v>
      </c>
      <c r="I208" s="18">
        <v>7</v>
      </c>
      <c r="J208" s="18">
        <v>436</v>
      </c>
      <c r="K208" s="18" t="s">
        <v>20</v>
      </c>
      <c r="L208" s="19">
        <v>416</v>
      </c>
      <c r="M208" s="18">
        <v>22</v>
      </c>
      <c r="N208" s="18" t="s">
        <v>20</v>
      </c>
      <c r="O208" s="19">
        <v>14</v>
      </c>
      <c r="P208" s="17">
        <v>7</v>
      </c>
      <c r="Q208" s="17">
        <f t="shared" si="27"/>
        <v>309648888</v>
      </c>
      <c r="R208" s="17">
        <f t="shared" si="23"/>
        <v>24222</v>
      </c>
      <c r="S208" s="17">
        <f t="shared" si="24"/>
        <v>88000035</v>
      </c>
      <c r="T208" s="17">
        <f t="shared" si="30"/>
        <v>42101044</v>
      </c>
      <c r="U208" s="17">
        <f t="shared" si="31"/>
        <v>42</v>
      </c>
      <c r="V208" s="17">
        <f t="shared" si="28"/>
        <v>35</v>
      </c>
      <c r="W208" s="17" t="str">
        <f t="shared" si="32"/>
        <v>LL Platz 3 Rang 2</v>
      </c>
    </row>
    <row r="209" spans="1:23" x14ac:dyDescent="0.35">
      <c r="A209" s="17"/>
      <c r="B209" s="17"/>
      <c r="C209" s="16"/>
      <c r="D209" s="18">
        <v>4</v>
      </c>
      <c r="E209" s="18" t="s">
        <v>172</v>
      </c>
      <c r="F209" s="18">
        <v>18</v>
      </c>
      <c r="G209" s="18">
        <v>10</v>
      </c>
      <c r="H209" s="18">
        <v>1</v>
      </c>
      <c r="I209" s="18">
        <v>7</v>
      </c>
      <c r="J209" s="18">
        <v>564</v>
      </c>
      <c r="K209" s="18" t="s">
        <v>20</v>
      </c>
      <c r="L209" s="19">
        <v>511</v>
      </c>
      <c r="M209" s="18">
        <v>21</v>
      </c>
      <c r="N209" s="18" t="s">
        <v>20</v>
      </c>
      <c r="O209" s="19">
        <v>15</v>
      </c>
      <c r="P209" s="17">
        <v>7</v>
      </c>
      <c r="Q209" s="17">
        <f t="shared" si="27"/>
        <v>309546666</v>
      </c>
      <c r="R209" s="17">
        <f t="shared" si="23"/>
        <v>31333</v>
      </c>
      <c r="S209" s="17">
        <f t="shared" si="24"/>
        <v>82722036</v>
      </c>
      <c r="T209" s="17">
        <f t="shared" si="30"/>
        <v>45007107</v>
      </c>
      <c r="U209" s="17">
        <f t="shared" si="31"/>
        <v>45</v>
      </c>
      <c r="V209" s="17">
        <f t="shared" si="28"/>
        <v>36</v>
      </c>
      <c r="W209" s="17" t="str">
        <f t="shared" si="32"/>
        <v>LL Platz 4 Rang 1</v>
      </c>
    </row>
    <row r="210" spans="1:23" x14ac:dyDescent="0.35">
      <c r="A210" s="17"/>
      <c r="B210" s="17"/>
      <c r="C210" s="16"/>
      <c r="D210" s="18">
        <v>5</v>
      </c>
      <c r="E210" s="18" t="s">
        <v>123</v>
      </c>
      <c r="F210" s="18">
        <v>18</v>
      </c>
      <c r="G210" s="18">
        <v>8</v>
      </c>
      <c r="H210" s="18">
        <v>2</v>
      </c>
      <c r="I210" s="18">
        <v>8</v>
      </c>
      <c r="J210" s="18">
        <v>517</v>
      </c>
      <c r="K210" s="18" t="s">
        <v>20</v>
      </c>
      <c r="L210" s="19">
        <v>530</v>
      </c>
      <c r="M210" s="18">
        <v>18</v>
      </c>
      <c r="N210" s="18" t="s">
        <v>20</v>
      </c>
      <c r="O210" s="19">
        <v>18</v>
      </c>
      <c r="P210" s="17">
        <v>7</v>
      </c>
      <c r="Q210" s="17">
        <f t="shared" si="27"/>
        <v>309440000</v>
      </c>
      <c r="R210" s="17">
        <f t="shared" si="23"/>
        <v>28722</v>
      </c>
      <c r="S210" s="17">
        <f t="shared" si="24"/>
        <v>81666037</v>
      </c>
      <c r="T210" s="17">
        <f t="shared" si="30"/>
        <v>48030119</v>
      </c>
      <c r="U210" s="17">
        <f t="shared" si="31"/>
        <v>48</v>
      </c>
      <c r="V210" s="17">
        <f t="shared" si="28"/>
        <v>37</v>
      </c>
      <c r="W210" s="17" t="str">
        <f t="shared" si="32"/>
        <v>LL Platz 5 Rang 0</v>
      </c>
    </row>
    <row r="211" spans="1:23" x14ac:dyDescent="0.35">
      <c r="A211" s="17"/>
      <c r="B211" s="17"/>
      <c r="C211" s="16"/>
      <c r="D211" s="18">
        <v>6</v>
      </c>
      <c r="E211" s="18" t="s">
        <v>173</v>
      </c>
      <c r="F211" s="18">
        <v>18</v>
      </c>
      <c r="G211" s="18">
        <v>6</v>
      </c>
      <c r="H211" s="18">
        <v>1</v>
      </c>
      <c r="I211" s="18">
        <v>11</v>
      </c>
      <c r="J211" s="18">
        <v>488</v>
      </c>
      <c r="K211" s="18" t="s">
        <v>20</v>
      </c>
      <c r="L211" s="19">
        <v>554</v>
      </c>
      <c r="M211" s="18">
        <v>13</v>
      </c>
      <c r="N211" s="18" t="s">
        <v>20</v>
      </c>
      <c r="O211" s="19">
        <v>23</v>
      </c>
      <c r="P211" s="17">
        <v>7</v>
      </c>
      <c r="Q211" s="17">
        <f t="shared" si="27"/>
        <v>309328888</v>
      </c>
      <c r="R211" s="17">
        <f t="shared" si="23"/>
        <v>27111</v>
      </c>
      <c r="S211" s="17">
        <f t="shared" si="24"/>
        <v>80333038</v>
      </c>
      <c r="T211" s="17">
        <f t="shared" si="30"/>
        <v>54056127</v>
      </c>
      <c r="U211" s="17">
        <f t="shared" si="31"/>
        <v>54</v>
      </c>
      <c r="V211" s="17">
        <f t="shared" si="28"/>
        <v>38</v>
      </c>
      <c r="W211" s="17" t="str">
        <f t="shared" si="32"/>
        <v>LL Platz 6 Rang 2</v>
      </c>
    </row>
    <row r="212" spans="1:23" x14ac:dyDescent="0.35">
      <c r="A212" s="17"/>
      <c r="B212" s="17"/>
      <c r="C212" s="16"/>
      <c r="D212" s="18">
        <v>7</v>
      </c>
      <c r="E212" s="18" t="s">
        <v>174</v>
      </c>
      <c r="F212" s="18">
        <v>18</v>
      </c>
      <c r="G212" s="18">
        <v>5</v>
      </c>
      <c r="H212" s="18">
        <v>1</v>
      </c>
      <c r="I212" s="18">
        <v>12</v>
      </c>
      <c r="J212" s="18">
        <v>410</v>
      </c>
      <c r="K212" s="18" t="s">
        <v>20</v>
      </c>
      <c r="L212" s="19">
        <v>535</v>
      </c>
      <c r="M212" s="18">
        <v>11</v>
      </c>
      <c r="N212" s="18" t="s">
        <v>20</v>
      </c>
      <c r="O212" s="19">
        <v>25</v>
      </c>
      <c r="P212" s="17">
        <v>7</v>
      </c>
      <c r="Q212" s="17">
        <f t="shared" si="27"/>
        <v>309224444</v>
      </c>
      <c r="R212" s="17">
        <f t="shared" si="23"/>
        <v>22777</v>
      </c>
      <c r="S212" s="17">
        <f t="shared" si="24"/>
        <v>81388039</v>
      </c>
      <c r="T212" s="17">
        <f t="shared" si="30"/>
        <v>58126120</v>
      </c>
      <c r="U212" s="17">
        <f t="shared" si="31"/>
        <v>58</v>
      </c>
      <c r="V212" s="17">
        <f t="shared" si="28"/>
        <v>39</v>
      </c>
      <c r="W212" s="17" t="str">
        <f t="shared" si="32"/>
        <v>LL Platz 7 Rang 2</v>
      </c>
    </row>
    <row r="213" spans="1:23" x14ac:dyDescent="0.35">
      <c r="A213" s="17"/>
      <c r="B213" s="17"/>
      <c r="C213" s="16"/>
      <c r="D213" s="18">
        <v>8</v>
      </c>
      <c r="E213" s="18" t="s">
        <v>126</v>
      </c>
      <c r="F213" s="18">
        <v>18</v>
      </c>
      <c r="G213" s="18">
        <v>5</v>
      </c>
      <c r="H213" s="18">
        <v>1</v>
      </c>
      <c r="I213" s="18">
        <v>12</v>
      </c>
      <c r="J213" s="18">
        <v>479</v>
      </c>
      <c r="K213" s="18" t="s">
        <v>20</v>
      </c>
      <c r="L213" s="19">
        <v>523</v>
      </c>
      <c r="M213" s="18">
        <v>11</v>
      </c>
      <c r="N213" s="18" t="s">
        <v>20</v>
      </c>
      <c r="O213" s="19">
        <v>25</v>
      </c>
      <c r="P213" s="17">
        <v>7</v>
      </c>
      <c r="Q213" s="17">
        <f t="shared" si="27"/>
        <v>309124444</v>
      </c>
      <c r="R213" s="17">
        <f t="shared" si="23"/>
        <v>26611</v>
      </c>
      <c r="S213" s="17">
        <f t="shared" si="24"/>
        <v>82055040</v>
      </c>
      <c r="T213" s="17">
        <f t="shared" si="30"/>
        <v>62063115</v>
      </c>
      <c r="U213" s="17">
        <f t="shared" si="31"/>
        <v>62</v>
      </c>
      <c r="V213" s="17">
        <f t="shared" si="28"/>
        <v>40</v>
      </c>
      <c r="W213" s="17" t="str">
        <f t="shared" si="32"/>
        <v>LL Platz 8 Rang 2</v>
      </c>
    </row>
    <row r="214" spans="1:23" x14ac:dyDescent="0.35">
      <c r="A214" s="17"/>
      <c r="B214" s="17"/>
      <c r="C214" s="16"/>
      <c r="D214" s="18">
        <v>9</v>
      </c>
      <c r="E214" s="18" t="s">
        <v>176</v>
      </c>
      <c r="F214" s="18">
        <v>18</v>
      </c>
      <c r="G214" s="18">
        <v>5</v>
      </c>
      <c r="H214" s="18">
        <v>1</v>
      </c>
      <c r="I214" s="18">
        <v>12</v>
      </c>
      <c r="J214" s="18">
        <v>478</v>
      </c>
      <c r="K214" s="18" t="s">
        <v>20</v>
      </c>
      <c r="L214" s="19">
        <v>545</v>
      </c>
      <c r="M214" s="18">
        <v>11</v>
      </c>
      <c r="N214" s="18" t="s">
        <v>20</v>
      </c>
      <c r="O214" s="19">
        <v>25</v>
      </c>
      <c r="P214" s="17">
        <v>7</v>
      </c>
      <c r="Q214" s="17">
        <f t="shared" si="27"/>
        <v>309024444</v>
      </c>
      <c r="R214" s="17">
        <f t="shared" si="23"/>
        <v>26555</v>
      </c>
      <c r="S214" s="17">
        <f t="shared" si="24"/>
        <v>80833041</v>
      </c>
      <c r="T214" s="17">
        <f t="shared" si="30"/>
        <v>63065123</v>
      </c>
      <c r="U214" s="17">
        <f t="shared" si="31"/>
        <v>63</v>
      </c>
      <c r="V214" s="17">
        <f t="shared" si="28"/>
        <v>41</v>
      </c>
      <c r="W214" s="17" t="str">
        <f t="shared" si="32"/>
        <v>LL Platz 9 Rang -1</v>
      </c>
    </row>
    <row r="215" spans="1:23" x14ac:dyDescent="0.35">
      <c r="A215" s="17"/>
      <c r="B215" s="17"/>
      <c r="C215" s="16"/>
      <c r="D215" s="18">
        <v>10</v>
      </c>
      <c r="E215" s="18" t="s">
        <v>175</v>
      </c>
      <c r="F215" s="18">
        <v>18</v>
      </c>
      <c r="G215" s="18">
        <v>3</v>
      </c>
      <c r="H215" s="18">
        <v>2</v>
      </c>
      <c r="I215" s="18">
        <v>13</v>
      </c>
      <c r="J215" s="18">
        <v>431</v>
      </c>
      <c r="K215" s="18" t="s">
        <v>20</v>
      </c>
      <c r="L215" s="19">
        <v>506</v>
      </c>
      <c r="M215" s="18">
        <v>8</v>
      </c>
      <c r="N215" s="18" t="s">
        <v>20</v>
      </c>
      <c r="O215" s="19">
        <v>28</v>
      </c>
      <c r="P215" s="17">
        <v>7</v>
      </c>
      <c r="Q215" s="17">
        <f t="shared" si="27"/>
        <v>308917777</v>
      </c>
      <c r="R215" s="17">
        <f t="shared" si="23"/>
        <v>23944</v>
      </c>
      <c r="S215" s="17">
        <f t="shared" si="24"/>
        <v>83000042</v>
      </c>
      <c r="T215" s="17">
        <f t="shared" si="30"/>
        <v>67106101</v>
      </c>
      <c r="U215" s="17">
        <f t="shared" si="31"/>
        <v>67</v>
      </c>
      <c r="V215" s="17">
        <f t="shared" si="28"/>
        <v>42</v>
      </c>
      <c r="W215" s="17" t="str">
        <f t="shared" si="32"/>
        <v>LL Platz 10 Rang -1</v>
      </c>
    </row>
    <row r="216" spans="1:23" x14ac:dyDescent="0.35">
      <c r="A216" s="17"/>
      <c r="B216" s="17"/>
      <c r="C216" s="16" t="s">
        <v>525</v>
      </c>
      <c r="D216" s="18">
        <v>1</v>
      </c>
      <c r="E216" s="18" t="s">
        <v>177</v>
      </c>
      <c r="F216" s="18">
        <v>18</v>
      </c>
      <c r="G216" s="18">
        <v>15</v>
      </c>
      <c r="H216" s="18">
        <v>0</v>
      </c>
      <c r="I216" s="18">
        <v>3</v>
      </c>
      <c r="J216" s="18">
        <v>570</v>
      </c>
      <c r="K216" s="18" t="s">
        <v>20</v>
      </c>
      <c r="L216" s="19">
        <v>487</v>
      </c>
      <c r="M216" s="18">
        <v>30</v>
      </c>
      <c r="N216" s="18" t="s">
        <v>20</v>
      </c>
      <c r="O216" s="19">
        <v>6</v>
      </c>
      <c r="P216" s="17">
        <v>7</v>
      </c>
      <c r="Q216" s="17">
        <f t="shared" si="27"/>
        <v>309866666</v>
      </c>
      <c r="R216" s="17">
        <f t="shared" si="23"/>
        <v>31666</v>
      </c>
      <c r="S216" s="17">
        <f t="shared" si="24"/>
        <v>84055043</v>
      </c>
      <c r="T216" s="17">
        <f t="shared" si="30"/>
        <v>34004089</v>
      </c>
      <c r="U216" s="17">
        <f t="shared" si="31"/>
        <v>34</v>
      </c>
      <c r="V216" s="17">
        <f t="shared" si="28"/>
        <v>43</v>
      </c>
      <c r="W216" s="17" t="str">
        <f t="shared" si="32"/>
        <v>LL Platz 1 Rang 2</v>
      </c>
    </row>
    <row r="217" spans="1:23" x14ac:dyDescent="0.35">
      <c r="A217" s="17"/>
      <c r="B217" s="17"/>
      <c r="C217" s="16"/>
      <c r="D217" s="18">
        <v>2</v>
      </c>
      <c r="E217" s="18" t="s">
        <v>133</v>
      </c>
      <c r="F217" s="18">
        <v>18</v>
      </c>
      <c r="G217" s="18">
        <v>12</v>
      </c>
      <c r="H217" s="18">
        <v>3</v>
      </c>
      <c r="I217" s="18">
        <v>3</v>
      </c>
      <c r="J217" s="18">
        <v>479</v>
      </c>
      <c r="K217" s="18" t="s">
        <v>20</v>
      </c>
      <c r="L217" s="19">
        <v>403</v>
      </c>
      <c r="M217" s="18">
        <v>27</v>
      </c>
      <c r="N217" s="18" t="s">
        <v>20</v>
      </c>
      <c r="O217" s="19">
        <v>9</v>
      </c>
      <c r="P217" s="17">
        <v>7</v>
      </c>
      <c r="Q217" s="17">
        <f t="shared" si="27"/>
        <v>309760000</v>
      </c>
      <c r="R217" s="17">
        <f t="shared" si="23"/>
        <v>26611</v>
      </c>
      <c r="S217" s="17">
        <f t="shared" si="24"/>
        <v>88722044</v>
      </c>
      <c r="T217" s="17">
        <f t="shared" si="30"/>
        <v>38063036</v>
      </c>
      <c r="U217" s="17">
        <f t="shared" si="31"/>
        <v>38</v>
      </c>
      <c r="V217" s="17">
        <f t="shared" si="28"/>
        <v>44</v>
      </c>
      <c r="W217" s="17" t="str">
        <f t="shared" si="32"/>
        <v>LL Platz 2 Rang 2</v>
      </c>
    </row>
    <row r="218" spans="1:23" x14ac:dyDescent="0.35">
      <c r="A218" s="17"/>
      <c r="B218" s="17"/>
      <c r="C218" s="16"/>
      <c r="D218" s="18">
        <v>3</v>
      </c>
      <c r="E218" s="18" t="s">
        <v>178</v>
      </c>
      <c r="F218" s="18">
        <v>18</v>
      </c>
      <c r="G218" s="18">
        <v>12</v>
      </c>
      <c r="H218" s="18">
        <v>2</v>
      </c>
      <c r="I218" s="18">
        <v>4</v>
      </c>
      <c r="J218" s="18">
        <v>521</v>
      </c>
      <c r="K218" s="18" t="s">
        <v>20</v>
      </c>
      <c r="L218" s="19">
        <v>443</v>
      </c>
      <c r="M218" s="18">
        <v>26</v>
      </c>
      <c r="N218" s="18" t="s">
        <v>20</v>
      </c>
      <c r="O218" s="19">
        <v>10</v>
      </c>
      <c r="P218" s="17">
        <v>7</v>
      </c>
      <c r="Q218" s="17">
        <f t="shared" si="27"/>
        <v>309657777</v>
      </c>
      <c r="R218" s="17">
        <f t="shared" si="23"/>
        <v>28944</v>
      </c>
      <c r="S218" s="17">
        <f t="shared" si="24"/>
        <v>86500045</v>
      </c>
      <c r="T218" s="17">
        <f t="shared" si="30"/>
        <v>39027059</v>
      </c>
      <c r="U218" s="17">
        <f t="shared" si="31"/>
        <v>39</v>
      </c>
      <c r="V218" s="17">
        <f t="shared" si="28"/>
        <v>45</v>
      </c>
      <c r="W218" s="17" t="str">
        <f t="shared" si="32"/>
        <v>LL Platz 3 Rang -1</v>
      </c>
    </row>
    <row r="219" spans="1:23" x14ac:dyDescent="0.35">
      <c r="A219" s="17"/>
      <c r="B219" s="17"/>
      <c r="C219" s="16"/>
      <c r="D219" s="18">
        <v>4</v>
      </c>
      <c r="E219" s="18" t="s">
        <v>179</v>
      </c>
      <c r="F219" s="18">
        <v>18</v>
      </c>
      <c r="G219" s="18">
        <v>10</v>
      </c>
      <c r="H219" s="18">
        <v>1</v>
      </c>
      <c r="I219" s="18">
        <v>7</v>
      </c>
      <c r="J219" s="18">
        <v>549</v>
      </c>
      <c r="K219" s="18" t="s">
        <v>20</v>
      </c>
      <c r="L219" s="19">
        <v>519</v>
      </c>
      <c r="M219" s="18">
        <v>21</v>
      </c>
      <c r="N219" s="18" t="s">
        <v>20</v>
      </c>
      <c r="O219" s="19">
        <v>15</v>
      </c>
      <c r="P219" s="17">
        <v>7</v>
      </c>
      <c r="Q219" s="17">
        <f t="shared" si="27"/>
        <v>309546666</v>
      </c>
      <c r="R219" s="17">
        <f t="shared" si="23"/>
        <v>30500</v>
      </c>
      <c r="S219" s="17">
        <f t="shared" si="24"/>
        <v>82277046</v>
      </c>
      <c r="T219" s="17">
        <f t="shared" si="30"/>
        <v>45012113</v>
      </c>
      <c r="U219" s="17">
        <f t="shared" si="31"/>
        <v>46</v>
      </c>
      <c r="V219" s="17">
        <f t="shared" si="28"/>
        <v>46</v>
      </c>
      <c r="W219" s="17" t="str">
        <f t="shared" si="32"/>
        <v>LL Platz 4 Rang 2</v>
      </c>
    </row>
    <row r="220" spans="1:23" x14ac:dyDescent="0.35">
      <c r="A220" s="17"/>
      <c r="B220" s="17"/>
      <c r="C220" s="16"/>
      <c r="D220" s="18">
        <v>5</v>
      </c>
      <c r="E220" s="18" t="s">
        <v>148</v>
      </c>
      <c r="F220" s="18">
        <v>18</v>
      </c>
      <c r="G220" s="18">
        <v>10</v>
      </c>
      <c r="H220" s="18">
        <v>0</v>
      </c>
      <c r="I220" s="18">
        <v>8</v>
      </c>
      <c r="J220" s="18">
        <v>535</v>
      </c>
      <c r="K220" s="18" t="s">
        <v>20</v>
      </c>
      <c r="L220" s="19">
        <v>519</v>
      </c>
      <c r="M220" s="18">
        <v>20</v>
      </c>
      <c r="N220" s="18" t="s">
        <v>20</v>
      </c>
      <c r="O220" s="19">
        <v>16</v>
      </c>
      <c r="P220" s="17">
        <v>7</v>
      </c>
      <c r="Q220" s="17">
        <f t="shared" si="27"/>
        <v>309444444</v>
      </c>
      <c r="R220" s="17">
        <f t="shared" si="23"/>
        <v>29722</v>
      </c>
      <c r="S220" s="17">
        <f t="shared" si="24"/>
        <v>82277047</v>
      </c>
      <c r="T220" s="17">
        <f t="shared" si="30"/>
        <v>47018112</v>
      </c>
      <c r="U220" s="17">
        <f t="shared" si="31"/>
        <v>47</v>
      </c>
      <c r="V220" s="17">
        <f t="shared" si="28"/>
        <v>47</v>
      </c>
      <c r="W220" s="17" t="str">
        <f t="shared" si="32"/>
        <v>LL Platz 5 Rang -1</v>
      </c>
    </row>
    <row r="221" spans="1:23" x14ac:dyDescent="0.35">
      <c r="A221" s="17"/>
      <c r="B221" s="17"/>
      <c r="C221" s="16"/>
      <c r="D221" s="18">
        <v>6</v>
      </c>
      <c r="E221" s="18" t="s">
        <v>41</v>
      </c>
      <c r="F221" s="18">
        <v>18</v>
      </c>
      <c r="G221" s="18">
        <v>9</v>
      </c>
      <c r="H221" s="18">
        <v>1</v>
      </c>
      <c r="I221" s="18">
        <v>8</v>
      </c>
      <c r="J221" s="18">
        <v>525</v>
      </c>
      <c r="K221" s="18" t="s">
        <v>20</v>
      </c>
      <c r="L221" s="19">
        <v>494</v>
      </c>
      <c r="M221" s="18">
        <v>19</v>
      </c>
      <c r="N221" s="18" t="s">
        <v>20</v>
      </c>
      <c r="O221" s="19">
        <v>17</v>
      </c>
      <c r="P221" s="17">
        <v>7</v>
      </c>
      <c r="Q221" s="17">
        <f t="shared" si="27"/>
        <v>309342222</v>
      </c>
      <c r="R221" s="17">
        <f t="shared" si="23"/>
        <v>29166</v>
      </c>
      <c r="S221" s="17">
        <f t="shared" si="24"/>
        <v>83666048</v>
      </c>
      <c r="T221" s="17">
        <f t="shared" si="30"/>
        <v>51023093</v>
      </c>
      <c r="U221" s="17">
        <f t="shared" si="31"/>
        <v>51</v>
      </c>
      <c r="V221" s="17">
        <f t="shared" si="28"/>
        <v>48</v>
      </c>
      <c r="W221" s="17" t="str">
        <f t="shared" si="32"/>
        <v>LL Platz 6 Rang -1</v>
      </c>
    </row>
    <row r="222" spans="1:23" x14ac:dyDescent="0.35">
      <c r="A222" s="17"/>
      <c r="B222" s="17"/>
      <c r="C222" s="16"/>
      <c r="D222" s="18">
        <v>7</v>
      </c>
      <c r="E222" s="18" t="s">
        <v>131</v>
      </c>
      <c r="F222" s="18">
        <v>18</v>
      </c>
      <c r="G222" s="18">
        <v>8</v>
      </c>
      <c r="H222" s="18">
        <v>1</v>
      </c>
      <c r="I222" s="18">
        <v>9</v>
      </c>
      <c r="J222" s="18">
        <v>529</v>
      </c>
      <c r="K222" s="18" t="s">
        <v>20</v>
      </c>
      <c r="L222" s="19">
        <v>530</v>
      </c>
      <c r="M222" s="18">
        <v>17</v>
      </c>
      <c r="N222" s="18" t="s">
        <v>20</v>
      </c>
      <c r="O222" s="19">
        <v>19</v>
      </c>
      <c r="P222" s="17">
        <v>7</v>
      </c>
      <c r="Q222" s="17">
        <f t="shared" si="27"/>
        <v>309237777</v>
      </c>
      <c r="R222" s="17">
        <f t="shared" si="23"/>
        <v>29388</v>
      </c>
      <c r="S222" s="17">
        <f t="shared" si="24"/>
        <v>81666049</v>
      </c>
      <c r="T222" s="17">
        <f t="shared" si="30"/>
        <v>55021118</v>
      </c>
      <c r="U222" s="17">
        <f t="shared" si="31"/>
        <v>55</v>
      </c>
      <c r="V222" s="17">
        <f t="shared" si="28"/>
        <v>49</v>
      </c>
      <c r="W222" s="17" t="str">
        <f t="shared" si="32"/>
        <v>LL Platz 7 Rang -1</v>
      </c>
    </row>
    <row r="223" spans="1:23" x14ac:dyDescent="0.35">
      <c r="A223" s="17"/>
      <c r="B223" s="17"/>
      <c r="C223" s="16"/>
      <c r="D223" s="18">
        <v>8</v>
      </c>
      <c r="E223" s="18" t="s">
        <v>180</v>
      </c>
      <c r="F223" s="18">
        <v>18</v>
      </c>
      <c r="G223" s="18">
        <v>8</v>
      </c>
      <c r="H223" s="18">
        <v>0</v>
      </c>
      <c r="I223" s="18">
        <v>10</v>
      </c>
      <c r="J223" s="18">
        <v>504</v>
      </c>
      <c r="K223" s="18" t="s">
        <v>20</v>
      </c>
      <c r="L223" s="19">
        <v>496</v>
      </c>
      <c r="M223" s="18">
        <v>16</v>
      </c>
      <c r="N223" s="18" t="s">
        <v>20</v>
      </c>
      <c r="O223" s="19">
        <v>20</v>
      </c>
      <c r="P223" s="17">
        <v>7</v>
      </c>
      <c r="Q223" s="17">
        <f t="shared" si="27"/>
        <v>309135555</v>
      </c>
      <c r="R223" s="17">
        <f t="shared" si="23"/>
        <v>28000</v>
      </c>
      <c r="S223" s="17">
        <f t="shared" si="24"/>
        <v>83555050</v>
      </c>
      <c r="T223" s="17">
        <f t="shared" si="30"/>
        <v>59037095</v>
      </c>
      <c r="U223" s="17">
        <f t="shared" si="31"/>
        <v>59</v>
      </c>
      <c r="V223" s="17">
        <f t="shared" si="28"/>
        <v>50</v>
      </c>
      <c r="W223" s="17" t="str">
        <f t="shared" si="32"/>
        <v>LL Platz 8 Rang -1</v>
      </c>
    </row>
    <row r="224" spans="1:23" x14ac:dyDescent="0.35">
      <c r="A224" s="17"/>
      <c r="B224" s="17"/>
      <c r="C224" s="16"/>
      <c r="D224" s="18">
        <v>9</v>
      </c>
      <c r="E224" s="18" t="s">
        <v>182</v>
      </c>
      <c r="F224" s="18">
        <v>18</v>
      </c>
      <c r="G224" s="18">
        <v>1</v>
      </c>
      <c r="H224" s="18">
        <v>0</v>
      </c>
      <c r="I224" s="18">
        <v>17</v>
      </c>
      <c r="J224" s="18">
        <v>410</v>
      </c>
      <c r="K224" s="18" t="s">
        <v>20</v>
      </c>
      <c r="L224" s="19">
        <v>563</v>
      </c>
      <c r="M224" s="18">
        <v>2</v>
      </c>
      <c r="N224" s="18" t="s">
        <v>20</v>
      </c>
      <c r="O224" s="19">
        <v>34</v>
      </c>
      <c r="P224" s="17">
        <v>7</v>
      </c>
      <c r="Q224" s="17">
        <f t="shared" si="27"/>
        <v>309004444</v>
      </c>
      <c r="R224" s="17">
        <f t="shared" si="23"/>
        <v>22777</v>
      </c>
      <c r="S224" s="17">
        <f t="shared" si="24"/>
        <v>79833051</v>
      </c>
      <c r="T224" s="17">
        <f t="shared" si="30"/>
        <v>66126128</v>
      </c>
      <c r="U224" s="17">
        <f t="shared" si="31"/>
        <v>66</v>
      </c>
      <c r="V224" s="17">
        <f t="shared" si="28"/>
        <v>51</v>
      </c>
      <c r="W224" s="17" t="str">
        <f t="shared" si="32"/>
        <v>LL Platz 9 Rang 2</v>
      </c>
    </row>
    <row r="225" spans="1:23" x14ac:dyDescent="0.35">
      <c r="A225" s="17"/>
      <c r="B225" s="17"/>
      <c r="C225" s="16"/>
      <c r="D225" s="18">
        <v>10</v>
      </c>
      <c r="E225" s="18" t="s">
        <v>181</v>
      </c>
      <c r="F225" s="18">
        <v>18</v>
      </c>
      <c r="G225" s="18">
        <v>1</v>
      </c>
      <c r="H225" s="18">
        <v>0</v>
      </c>
      <c r="I225" s="18">
        <v>17</v>
      </c>
      <c r="J225" s="18">
        <v>418</v>
      </c>
      <c r="K225" s="18" t="s">
        <v>20</v>
      </c>
      <c r="L225" s="19">
        <v>586</v>
      </c>
      <c r="M225" s="18">
        <v>2</v>
      </c>
      <c r="N225" s="18" t="s">
        <v>20</v>
      </c>
      <c r="O225" s="19">
        <v>34</v>
      </c>
      <c r="P225" s="17">
        <v>7</v>
      </c>
      <c r="Q225" s="17">
        <f t="shared" si="27"/>
        <v>308904444</v>
      </c>
      <c r="R225" s="17">
        <f t="shared" si="23"/>
        <v>23222</v>
      </c>
      <c r="S225" s="17">
        <f t="shared" si="24"/>
        <v>78555052</v>
      </c>
      <c r="T225" s="17">
        <f t="shared" si="30"/>
        <v>69118129</v>
      </c>
      <c r="U225" s="17">
        <f t="shared" si="31"/>
        <v>69</v>
      </c>
      <c r="V225" s="17">
        <f t="shared" si="28"/>
        <v>52</v>
      </c>
      <c r="W225" s="17" t="str">
        <f t="shared" si="32"/>
        <v>LL Platz 10 Rang 1</v>
      </c>
    </row>
    <row r="226" spans="1:23" x14ac:dyDescent="0.35">
      <c r="A226" s="17"/>
      <c r="B226" s="17"/>
      <c r="C226" s="16" t="s">
        <v>526</v>
      </c>
      <c r="D226" s="18">
        <v>1</v>
      </c>
      <c r="E226" s="18" t="s">
        <v>183</v>
      </c>
      <c r="F226" s="18">
        <v>18</v>
      </c>
      <c r="G226" s="18">
        <v>16</v>
      </c>
      <c r="H226" s="18">
        <v>0</v>
      </c>
      <c r="I226" s="18">
        <v>2</v>
      </c>
      <c r="J226" s="18">
        <v>485</v>
      </c>
      <c r="K226" s="18" t="s">
        <v>20</v>
      </c>
      <c r="L226" s="19">
        <v>402</v>
      </c>
      <c r="M226" s="18">
        <v>32</v>
      </c>
      <c r="N226" s="18" t="s">
        <v>20</v>
      </c>
      <c r="O226" s="19">
        <v>4</v>
      </c>
      <c r="P226" s="17">
        <v>7</v>
      </c>
      <c r="Q226" s="17">
        <f t="shared" si="27"/>
        <v>309871111</v>
      </c>
      <c r="R226" s="17">
        <f t="shared" si="23"/>
        <v>26944</v>
      </c>
      <c r="S226" s="17">
        <f t="shared" si="24"/>
        <v>88777053</v>
      </c>
      <c r="T226" s="17">
        <f t="shared" si="30"/>
        <v>33059035</v>
      </c>
      <c r="U226" s="17">
        <f t="shared" si="31"/>
        <v>33</v>
      </c>
      <c r="V226" s="17">
        <f t="shared" si="28"/>
        <v>53</v>
      </c>
      <c r="W226" s="17" t="str">
        <f t="shared" si="32"/>
        <v>LL Platz 1 Rang 1</v>
      </c>
    </row>
    <row r="227" spans="1:23" x14ac:dyDescent="0.35">
      <c r="A227" s="17"/>
      <c r="B227" s="17"/>
      <c r="C227" s="16"/>
      <c r="D227" s="18">
        <v>2</v>
      </c>
      <c r="E227" s="18" t="s">
        <v>184</v>
      </c>
      <c r="F227" s="18">
        <v>18</v>
      </c>
      <c r="G227" s="18">
        <v>14</v>
      </c>
      <c r="H227" s="18">
        <v>0</v>
      </c>
      <c r="I227" s="18">
        <v>4</v>
      </c>
      <c r="J227" s="18">
        <v>469</v>
      </c>
      <c r="K227" s="18" t="s">
        <v>20</v>
      </c>
      <c r="L227" s="19">
        <v>407</v>
      </c>
      <c r="M227" s="18">
        <v>28</v>
      </c>
      <c r="N227" s="18" t="s">
        <v>20</v>
      </c>
      <c r="O227" s="19">
        <v>8</v>
      </c>
      <c r="P227" s="17">
        <v>7</v>
      </c>
      <c r="Q227" s="17">
        <f t="shared" si="27"/>
        <v>309762222</v>
      </c>
      <c r="R227" s="17">
        <f t="shared" si="23"/>
        <v>26055</v>
      </c>
      <c r="S227" s="17">
        <f t="shared" si="24"/>
        <v>88500054</v>
      </c>
      <c r="T227" s="17">
        <f t="shared" si="30"/>
        <v>36073039</v>
      </c>
      <c r="U227" s="17">
        <f t="shared" si="31"/>
        <v>37</v>
      </c>
      <c r="V227" s="17">
        <f t="shared" si="28"/>
        <v>54</v>
      </c>
      <c r="W227" s="17" t="str">
        <f t="shared" si="32"/>
        <v>LL Platz 2 Rang 1</v>
      </c>
    </row>
    <row r="228" spans="1:23" x14ac:dyDescent="0.35">
      <c r="A228" s="17"/>
      <c r="B228" s="17"/>
      <c r="C228" s="16"/>
      <c r="D228" s="18">
        <v>3</v>
      </c>
      <c r="E228" s="18" t="s">
        <v>114</v>
      </c>
      <c r="F228" s="18">
        <v>18</v>
      </c>
      <c r="G228" s="18">
        <v>12</v>
      </c>
      <c r="H228" s="18">
        <v>1</v>
      </c>
      <c r="I228" s="18">
        <v>5</v>
      </c>
      <c r="J228" s="18">
        <v>471</v>
      </c>
      <c r="K228" s="18" t="s">
        <v>20</v>
      </c>
      <c r="L228" s="19">
        <v>430</v>
      </c>
      <c r="M228" s="18">
        <v>25</v>
      </c>
      <c r="N228" s="18" t="s">
        <v>20</v>
      </c>
      <c r="O228" s="19">
        <v>11</v>
      </c>
      <c r="P228" s="17">
        <v>7</v>
      </c>
      <c r="Q228" s="17">
        <f t="shared" si="27"/>
        <v>309655555</v>
      </c>
      <c r="R228" s="17">
        <f t="shared" si="23"/>
        <v>26166</v>
      </c>
      <c r="S228" s="17">
        <f t="shared" si="24"/>
        <v>87222055</v>
      </c>
      <c r="T228" s="17">
        <f t="shared" si="30"/>
        <v>40071055</v>
      </c>
      <c r="U228" s="17">
        <f t="shared" si="31"/>
        <v>40</v>
      </c>
      <c r="V228" s="17">
        <f t="shared" si="28"/>
        <v>55</v>
      </c>
      <c r="W228" s="17" t="str">
        <f t="shared" si="32"/>
        <v>LL Platz 3 Rang 0</v>
      </c>
    </row>
    <row r="229" spans="1:23" x14ac:dyDescent="0.35">
      <c r="A229" s="17"/>
      <c r="B229" s="17"/>
      <c r="C229" s="16"/>
      <c r="D229" s="18">
        <v>4</v>
      </c>
      <c r="E229" s="18" t="s">
        <v>185</v>
      </c>
      <c r="F229" s="18">
        <v>18</v>
      </c>
      <c r="G229" s="18">
        <v>10</v>
      </c>
      <c r="H229" s="18">
        <v>2</v>
      </c>
      <c r="I229" s="18">
        <v>6</v>
      </c>
      <c r="J229" s="18">
        <v>456</v>
      </c>
      <c r="K229" s="18" t="s">
        <v>20</v>
      </c>
      <c r="L229" s="19">
        <v>406</v>
      </c>
      <c r="M229" s="18">
        <v>22</v>
      </c>
      <c r="N229" s="18" t="s">
        <v>20</v>
      </c>
      <c r="O229" s="19">
        <v>14</v>
      </c>
      <c r="P229" s="17">
        <v>7</v>
      </c>
      <c r="Q229" s="17">
        <f t="shared" si="27"/>
        <v>309548888</v>
      </c>
      <c r="R229" s="17">
        <f t="shared" si="23"/>
        <v>25333</v>
      </c>
      <c r="S229" s="17">
        <f t="shared" si="24"/>
        <v>88555056</v>
      </c>
      <c r="T229" s="17">
        <f t="shared" si="30"/>
        <v>44087038</v>
      </c>
      <c r="U229" s="17">
        <f t="shared" si="31"/>
        <v>44</v>
      </c>
      <c r="V229" s="17">
        <f t="shared" si="28"/>
        <v>56</v>
      </c>
      <c r="W229" s="17" t="str">
        <f t="shared" si="32"/>
        <v>LL Platz 4 Rang 0</v>
      </c>
    </row>
    <row r="230" spans="1:23" x14ac:dyDescent="0.35">
      <c r="A230" s="17"/>
      <c r="B230" s="17"/>
      <c r="C230" s="16"/>
      <c r="D230" s="18">
        <v>5</v>
      </c>
      <c r="E230" s="18" t="s">
        <v>187</v>
      </c>
      <c r="F230" s="18">
        <v>18</v>
      </c>
      <c r="G230" s="18">
        <v>8</v>
      </c>
      <c r="H230" s="18">
        <v>0</v>
      </c>
      <c r="I230" s="18">
        <v>10</v>
      </c>
      <c r="J230" s="18">
        <v>463</v>
      </c>
      <c r="K230" s="18" t="s">
        <v>20</v>
      </c>
      <c r="L230" s="19">
        <v>502</v>
      </c>
      <c r="M230" s="18">
        <v>16</v>
      </c>
      <c r="N230" s="18" t="s">
        <v>20</v>
      </c>
      <c r="O230" s="19">
        <v>20</v>
      </c>
      <c r="P230" s="17">
        <v>7</v>
      </c>
      <c r="Q230" s="17">
        <f t="shared" si="27"/>
        <v>309435555</v>
      </c>
      <c r="R230" s="17">
        <f t="shared" si="23"/>
        <v>25722</v>
      </c>
      <c r="S230" s="17">
        <f t="shared" si="24"/>
        <v>83222057</v>
      </c>
      <c r="T230" s="17">
        <f t="shared" si="30"/>
        <v>50083097</v>
      </c>
      <c r="U230" s="17">
        <f t="shared" si="31"/>
        <v>50</v>
      </c>
      <c r="V230" s="17">
        <f t="shared" si="28"/>
        <v>57</v>
      </c>
      <c r="W230" s="17" t="str">
        <f t="shared" si="32"/>
        <v>LL Platz 5 Rang 2</v>
      </c>
    </row>
    <row r="231" spans="1:23" x14ac:dyDescent="0.35">
      <c r="A231" s="17"/>
      <c r="B231" s="17"/>
      <c r="C231" s="16"/>
      <c r="D231" s="18">
        <v>6</v>
      </c>
      <c r="E231" s="18" t="s">
        <v>146</v>
      </c>
      <c r="F231" s="18">
        <v>18</v>
      </c>
      <c r="G231" s="18">
        <v>7</v>
      </c>
      <c r="H231" s="18">
        <v>1</v>
      </c>
      <c r="I231" s="18">
        <v>10</v>
      </c>
      <c r="J231" s="18">
        <v>443</v>
      </c>
      <c r="K231" s="18" t="s">
        <v>20</v>
      </c>
      <c r="L231" s="19">
        <v>461</v>
      </c>
      <c r="M231" s="18">
        <v>15</v>
      </c>
      <c r="N231" s="18" t="s">
        <v>20</v>
      </c>
      <c r="O231" s="19">
        <v>21</v>
      </c>
      <c r="P231" s="17">
        <v>7</v>
      </c>
      <c r="Q231" s="17">
        <f t="shared" si="27"/>
        <v>309333333</v>
      </c>
      <c r="R231" s="17">
        <f t="shared" si="23"/>
        <v>24611</v>
      </c>
      <c r="S231" s="17">
        <f t="shared" si="24"/>
        <v>85500058</v>
      </c>
      <c r="T231" s="17">
        <f t="shared" si="30"/>
        <v>52096073</v>
      </c>
      <c r="U231" s="17">
        <f t="shared" si="31"/>
        <v>53</v>
      </c>
      <c r="V231" s="17">
        <f t="shared" si="28"/>
        <v>58</v>
      </c>
      <c r="W231" s="17" t="str">
        <f t="shared" si="32"/>
        <v>LL Platz 6 Rang 1</v>
      </c>
    </row>
    <row r="232" spans="1:23" x14ac:dyDescent="0.35">
      <c r="A232" s="17"/>
      <c r="B232" s="17"/>
      <c r="C232" s="16"/>
      <c r="D232" s="18">
        <v>7</v>
      </c>
      <c r="E232" s="18" t="s">
        <v>436</v>
      </c>
      <c r="F232" s="18">
        <v>18</v>
      </c>
      <c r="G232" s="18">
        <v>7</v>
      </c>
      <c r="H232" s="18">
        <v>0</v>
      </c>
      <c r="I232" s="18">
        <v>11</v>
      </c>
      <c r="J232" s="18">
        <v>468</v>
      </c>
      <c r="K232" s="18" t="s">
        <v>20</v>
      </c>
      <c r="L232" s="19">
        <v>505</v>
      </c>
      <c r="M232" s="18">
        <v>14</v>
      </c>
      <c r="N232" s="18" t="s">
        <v>20</v>
      </c>
      <c r="O232" s="19">
        <v>22</v>
      </c>
      <c r="P232" s="17">
        <v>7</v>
      </c>
      <c r="Q232" s="17">
        <f t="shared" si="27"/>
        <v>309231111</v>
      </c>
      <c r="R232" s="17">
        <f t="shared" si="23"/>
        <v>26000</v>
      </c>
      <c r="S232" s="17">
        <f t="shared" si="24"/>
        <v>83055059</v>
      </c>
      <c r="T232" s="17">
        <f t="shared" si="30"/>
        <v>57075100</v>
      </c>
      <c r="U232" s="17">
        <f t="shared" si="31"/>
        <v>57</v>
      </c>
      <c r="V232" s="17">
        <f t="shared" si="28"/>
        <v>59</v>
      </c>
      <c r="W232" s="17" t="str">
        <f t="shared" si="32"/>
        <v>LL Platz 7 Rang 1</v>
      </c>
    </row>
    <row r="233" spans="1:23" x14ac:dyDescent="0.35">
      <c r="A233" s="17"/>
      <c r="B233" s="17"/>
      <c r="C233" s="16"/>
      <c r="D233" s="18">
        <v>8</v>
      </c>
      <c r="E233" s="18" t="s">
        <v>186</v>
      </c>
      <c r="F233" s="18">
        <v>18</v>
      </c>
      <c r="G233" s="18">
        <v>6</v>
      </c>
      <c r="H233" s="18">
        <v>1</v>
      </c>
      <c r="I233" s="18">
        <v>11</v>
      </c>
      <c r="J233" s="18">
        <v>429</v>
      </c>
      <c r="K233" s="18" t="s">
        <v>20</v>
      </c>
      <c r="L233" s="19">
        <v>449</v>
      </c>
      <c r="M233" s="18">
        <v>13</v>
      </c>
      <c r="N233" s="18" t="s">
        <v>20</v>
      </c>
      <c r="O233" s="19">
        <v>23</v>
      </c>
      <c r="P233" s="17">
        <v>7</v>
      </c>
      <c r="Q233" s="17">
        <f t="shared" si="27"/>
        <v>309128888</v>
      </c>
      <c r="R233" s="17">
        <f t="shared" si="23"/>
        <v>23833</v>
      </c>
      <c r="S233" s="17">
        <f t="shared" si="24"/>
        <v>86166060</v>
      </c>
      <c r="T233" s="17">
        <f t="shared" si="30"/>
        <v>60108065</v>
      </c>
      <c r="U233" s="17">
        <f t="shared" si="31"/>
        <v>60</v>
      </c>
      <c r="V233" s="17">
        <f t="shared" si="28"/>
        <v>60</v>
      </c>
      <c r="W233" s="17" t="str">
        <f t="shared" si="32"/>
        <v>LL Platz 8 Rang 0</v>
      </c>
    </row>
    <row r="234" spans="1:23" x14ac:dyDescent="0.35">
      <c r="A234" s="17"/>
      <c r="B234" s="17"/>
      <c r="C234" s="16"/>
      <c r="D234" s="18">
        <v>9</v>
      </c>
      <c r="E234" s="18" t="s">
        <v>147</v>
      </c>
      <c r="F234" s="18">
        <v>18</v>
      </c>
      <c r="G234" s="18">
        <v>4</v>
      </c>
      <c r="H234" s="18">
        <v>3</v>
      </c>
      <c r="I234" s="18">
        <v>11</v>
      </c>
      <c r="J234" s="18">
        <v>401</v>
      </c>
      <c r="K234" s="18" t="s">
        <v>20</v>
      </c>
      <c r="L234" s="19">
        <v>445</v>
      </c>
      <c r="M234" s="18">
        <v>11</v>
      </c>
      <c r="N234" s="18" t="s">
        <v>20</v>
      </c>
      <c r="O234" s="19">
        <v>25</v>
      </c>
      <c r="P234" s="17">
        <v>7</v>
      </c>
      <c r="Q234" s="17">
        <f t="shared" si="27"/>
        <v>309024444</v>
      </c>
      <c r="R234" s="17">
        <f t="shared" si="23"/>
        <v>22277</v>
      </c>
      <c r="S234" s="17">
        <f t="shared" si="24"/>
        <v>86388061</v>
      </c>
      <c r="T234" s="17">
        <f t="shared" si="30"/>
        <v>63132061</v>
      </c>
      <c r="U234" s="17">
        <f t="shared" si="31"/>
        <v>64</v>
      </c>
      <c r="V234" s="17">
        <f t="shared" si="28"/>
        <v>61</v>
      </c>
      <c r="W234" s="17" t="str">
        <f t="shared" si="32"/>
        <v>LL Platz 9 Rang 0</v>
      </c>
    </row>
    <row r="235" spans="1:23" x14ac:dyDescent="0.35">
      <c r="A235" s="17"/>
      <c r="B235" s="17"/>
      <c r="C235" s="16"/>
      <c r="D235" s="18">
        <v>10</v>
      </c>
      <c r="E235" s="18" t="s">
        <v>117</v>
      </c>
      <c r="F235" s="18">
        <v>18</v>
      </c>
      <c r="G235" s="18">
        <v>1</v>
      </c>
      <c r="H235" s="18">
        <v>2</v>
      </c>
      <c r="I235" s="18">
        <v>15</v>
      </c>
      <c r="J235" s="18">
        <v>432</v>
      </c>
      <c r="K235" s="18" t="s">
        <v>20</v>
      </c>
      <c r="L235" s="19">
        <v>510</v>
      </c>
      <c r="M235" s="18">
        <v>4</v>
      </c>
      <c r="N235" s="18" t="s">
        <v>20</v>
      </c>
      <c r="O235" s="19">
        <v>32</v>
      </c>
      <c r="P235" s="17">
        <v>7</v>
      </c>
      <c r="Q235" s="17">
        <f t="shared" si="27"/>
        <v>308908888</v>
      </c>
      <c r="R235" s="17">
        <f t="shared" si="23"/>
        <v>24000</v>
      </c>
      <c r="S235" s="17">
        <f t="shared" si="24"/>
        <v>82777062</v>
      </c>
      <c r="T235" s="17">
        <f t="shared" si="30"/>
        <v>68104104</v>
      </c>
      <c r="U235" s="17">
        <f t="shared" si="31"/>
        <v>68</v>
      </c>
      <c r="V235" s="17">
        <f t="shared" si="28"/>
        <v>62</v>
      </c>
      <c r="W235" s="17" t="str">
        <f t="shared" si="32"/>
        <v>LL Platz 10 Rang 0</v>
      </c>
    </row>
    <row r="236" spans="1:23" x14ac:dyDescent="0.35">
      <c r="A236" s="17"/>
      <c r="B236" s="17"/>
      <c r="C236" s="16" t="s">
        <v>527</v>
      </c>
      <c r="D236" s="18">
        <v>1</v>
      </c>
      <c r="E236" s="18" t="s">
        <v>437</v>
      </c>
      <c r="F236" s="18">
        <v>18</v>
      </c>
      <c r="G236" s="18">
        <v>18</v>
      </c>
      <c r="H236" s="18">
        <v>0</v>
      </c>
      <c r="I236" s="18">
        <v>0</v>
      </c>
      <c r="J236" s="18">
        <v>760</v>
      </c>
      <c r="K236" s="18" t="s">
        <v>20</v>
      </c>
      <c r="L236" s="19">
        <v>485</v>
      </c>
      <c r="M236" s="18">
        <v>36</v>
      </c>
      <c r="N236" s="18" t="s">
        <v>20</v>
      </c>
      <c r="O236" s="19">
        <v>0</v>
      </c>
      <c r="P236" s="17">
        <v>7</v>
      </c>
      <c r="Q236" s="17">
        <f t="shared" si="27"/>
        <v>309880000</v>
      </c>
      <c r="R236" s="17">
        <f t="shared" si="23"/>
        <v>42222</v>
      </c>
      <c r="S236" s="17">
        <f t="shared" si="24"/>
        <v>84166063</v>
      </c>
      <c r="T236" s="17">
        <f t="shared" si="30"/>
        <v>31001084</v>
      </c>
      <c r="U236" s="17">
        <f t="shared" si="31"/>
        <v>31</v>
      </c>
      <c r="V236" s="17">
        <f t="shared" si="28"/>
        <v>63</v>
      </c>
      <c r="W236" s="17" t="str">
        <f t="shared" si="32"/>
        <v>LL Platz 1 Rang -1</v>
      </c>
    </row>
    <row r="237" spans="1:23" x14ac:dyDescent="0.35">
      <c r="A237" s="17"/>
      <c r="B237" s="17"/>
      <c r="C237" s="16"/>
      <c r="D237" s="18">
        <v>2</v>
      </c>
      <c r="E237" s="18" t="s">
        <v>188</v>
      </c>
      <c r="F237" s="18">
        <v>18</v>
      </c>
      <c r="G237" s="18">
        <v>14</v>
      </c>
      <c r="H237" s="18">
        <v>0</v>
      </c>
      <c r="I237" s="18">
        <v>4</v>
      </c>
      <c r="J237" s="18">
        <v>563</v>
      </c>
      <c r="K237" s="18" t="s">
        <v>20</v>
      </c>
      <c r="L237" s="19">
        <v>487</v>
      </c>
      <c r="M237" s="18">
        <v>28</v>
      </c>
      <c r="N237" s="18" t="s">
        <v>20</v>
      </c>
      <c r="O237" s="19">
        <v>8</v>
      </c>
      <c r="P237" s="17">
        <v>7</v>
      </c>
      <c r="Q237" s="17">
        <f t="shared" si="27"/>
        <v>309762222</v>
      </c>
      <c r="R237" s="17">
        <f t="shared" si="23"/>
        <v>31277</v>
      </c>
      <c r="S237" s="17">
        <f t="shared" si="24"/>
        <v>84055064</v>
      </c>
      <c r="T237" s="17">
        <f t="shared" si="30"/>
        <v>36009088</v>
      </c>
      <c r="U237" s="17">
        <f t="shared" si="31"/>
        <v>36</v>
      </c>
      <c r="V237" s="17">
        <f t="shared" si="28"/>
        <v>64</v>
      </c>
      <c r="W237" s="17" t="str">
        <f t="shared" si="32"/>
        <v>LL Platz 2 Rang 0</v>
      </c>
    </row>
    <row r="238" spans="1:23" x14ac:dyDescent="0.35">
      <c r="A238" s="17"/>
      <c r="B238" s="17"/>
      <c r="C238" s="16"/>
      <c r="D238" s="18">
        <v>3</v>
      </c>
      <c r="E238" s="18" t="s">
        <v>85</v>
      </c>
      <c r="F238" s="18">
        <v>18</v>
      </c>
      <c r="G238" s="18">
        <v>11</v>
      </c>
      <c r="H238" s="18">
        <v>1</v>
      </c>
      <c r="I238" s="18">
        <v>6</v>
      </c>
      <c r="J238" s="18">
        <v>495</v>
      </c>
      <c r="K238" s="18" t="s">
        <v>20</v>
      </c>
      <c r="L238" s="19">
        <v>477</v>
      </c>
      <c r="M238" s="18">
        <v>23</v>
      </c>
      <c r="N238" s="18" t="s">
        <v>20</v>
      </c>
      <c r="O238" s="19">
        <v>13</v>
      </c>
      <c r="P238" s="17">
        <v>7</v>
      </c>
      <c r="Q238" s="17">
        <f t="shared" si="27"/>
        <v>309651111</v>
      </c>
      <c r="R238" s="17">
        <f t="shared" ref="R238:R301" si="33">INT(1000*J238/F238)</f>
        <v>27500</v>
      </c>
      <c r="S238" s="17">
        <f t="shared" ref="S238:S301" si="34">V238+1000*(INT(1000*(2000-L238)/F238))</f>
        <v>84611065</v>
      </c>
      <c r="T238" s="17">
        <f t="shared" ref="T238:T269" si="35">RANK(S238,S$174:S$325)+1000*RANK(R238,R$174:R$325)+1000000*RANK(Q238,Q$174:Q$325)</f>
        <v>41050081</v>
      </c>
      <c r="U238" s="17">
        <f t="shared" ref="U238:U269" si="36">RANK(T238,T$174:T$325,1)</f>
        <v>41</v>
      </c>
      <c r="V238" s="17">
        <f t="shared" si="28"/>
        <v>65</v>
      </c>
      <c r="W238" s="17" t="str">
        <f t="shared" si="32"/>
        <v>LL Platz 3 Rang 1</v>
      </c>
    </row>
    <row r="239" spans="1:23" x14ac:dyDescent="0.35">
      <c r="A239" s="17"/>
      <c r="B239" s="17"/>
      <c r="C239" s="16"/>
      <c r="D239" s="18">
        <v>4</v>
      </c>
      <c r="E239" s="18" t="s">
        <v>189</v>
      </c>
      <c r="F239" s="18">
        <v>18</v>
      </c>
      <c r="G239" s="18">
        <v>11</v>
      </c>
      <c r="H239" s="18">
        <v>1</v>
      </c>
      <c r="I239" s="18">
        <v>6</v>
      </c>
      <c r="J239" s="18">
        <v>537</v>
      </c>
      <c r="K239" s="18" t="s">
        <v>20</v>
      </c>
      <c r="L239" s="19">
        <v>511</v>
      </c>
      <c r="M239" s="18">
        <v>23</v>
      </c>
      <c r="N239" s="18" t="s">
        <v>20</v>
      </c>
      <c r="O239" s="19">
        <v>13</v>
      </c>
      <c r="P239" s="17">
        <v>7</v>
      </c>
      <c r="Q239" s="17">
        <f t="shared" ref="Q239:Q302" si="37">INT(40000*M239/F239)+100000*(99-D239+1000*(10-P239))</f>
        <v>309551111</v>
      </c>
      <c r="R239" s="17">
        <f t="shared" si="33"/>
        <v>29833</v>
      </c>
      <c r="S239" s="17">
        <f t="shared" si="34"/>
        <v>82722066</v>
      </c>
      <c r="T239" s="17">
        <f t="shared" si="35"/>
        <v>43016106</v>
      </c>
      <c r="U239" s="17">
        <f t="shared" si="36"/>
        <v>43</v>
      </c>
      <c r="V239" s="17">
        <f t="shared" si="28"/>
        <v>66</v>
      </c>
      <c r="W239" s="17" t="str">
        <f t="shared" si="32"/>
        <v>LL Platz 4 Rang -1</v>
      </c>
    </row>
    <row r="240" spans="1:23" x14ac:dyDescent="0.35">
      <c r="A240" s="17"/>
      <c r="B240" s="17"/>
      <c r="C240" s="16"/>
      <c r="D240" s="18">
        <v>5</v>
      </c>
      <c r="E240" s="18" t="s">
        <v>438</v>
      </c>
      <c r="F240" s="18">
        <v>18</v>
      </c>
      <c r="G240" s="18">
        <v>8</v>
      </c>
      <c r="H240" s="18">
        <v>1</v>
      </c>
      <c r="I240" s="18">
        <v>9</v>
      </c>
      <c r="J240" s="18">
        <v>511</v>
      </c>
      <c r="K240" s="18" t="s">
        <v>20</v>
      </c>
      <c r="L240" s="19">
        <v>553</v>
      </c>
      <c r="M240" s="18">
        <v>17</v>
      </c>
      <c r="N240" s="18" t="s">
        <v>20</v>
      </c>
      <c r="O240" s="19">
        <v>19</v>
      </c>
      <c r="P240" s="17">
        <v>7</v>
      </c>
      <c r="Q240" s="17">
        <f t="shared" si="37"/>
        <v>309437777</v>
      </c>
      <c r="R240" s="17">
        <f t="shared" si="33"/>
        <v>28388</v>
      </c>
      <c r="S240" s="17">
        <f t="shared" si="34"/>
        <v>80388067</v>
      </c>
      <c r="T240" s="17">
        <f t="shared" si="35"/>
        <v>49035126</v>
      </c>
      <c r="U240" s="17">
        <f t="shared" si="36"/>
        <v>49</v>
      </c>
      <c r="V240" s="17">
        <f t="shared" ref="V240:V303" si="38">+V239+1</f>
        <v>67</v>
      </c>
      <c r="W240" s="17" t="str">
        <f t="shared" si="32"/>
        <v>LL Platz 5 Rang 1</v>
      </c>
    </row>
    <row r="241" spans="1:23" x14ac:dyDescent="0.35">
      <c r="A241" s="17"/>
      <c r="B241" s="17"/>
      <c r="C241" s="16"/>
      <c r="D241" s="18">
        <v>6</v>
      </c>
      <c r="E241" s="18" t="s">
        <v>439</v>
      </c>
      <c r="F241" s="18">
        <v>18</v>
      </c>
      <c r="G241" s="18">
        <v>7</v>
      </c>
      <c r="H241" s="18">
        <v>1</v>
      </c>
      <c r="I241" s="18">
        <v>10</v>
      </c>
      <c r="J241" s="18">
        <v>488</v>
      </c>
      <c r="K241" s="18" t="s">
        <v>20</v>
      </c>
      <c r="L241" s="19">
        <v>511</v>
      </c>
      <c r="M241" s="18">
        <v>15</v>
      </c>
      <c r="N241" s="18" t="s">
        <v>20</v>
      </c>
      <c r="O241" s="19">
        <v>21</v>
      </c>
      <c r="P241" s="17">
        <v>7</v>
      </c>
      <c r="Q241" s="17">
        <f t="shared" si="37"/>
        <v>309333333</v>
      </c>
      <c r="R241" s="17">
        <f t="shared" si="33"/>
        <v>27111</v>
      </c>
      <c r="S241" s="17">
        <f t="shared" si="34"/>
        <v>82722068</v>
      </c>
      <c r="T241" s="17">
        <f t="shared" si="35"/>
        <v>52056105</v>
      </c>
      <c r="U241" s="17">
        <f t="shared" si="36"/>
        <v>52</v>
      </c>
      <c r="V241" s="17">
        <f t="shared" si="38"/>
        <v>68</v>
      </c>
      <c r="W241" s="17" t="str">
        <f t="shared" si="32"/>
        <v>LL Platz 6 Rang 0</v>
      </c>
    </row>
    <row r="242" spans="1:23" x14ac:dyDescent="0.35">
      <c r="A242" s="17"/>
      <c r="B242" s="17"/>
      <c r="C242" s="16"/>
      <c r="D242" s="18">
        <v>7</v>
      </c>
      <c r="E242" s="18" t="s">
        <v>440</v>
      </c>
      <c r="F242" s="18">
        <v>18</v>
      </c>
      <c r="G242" s="18">
        <v>7</v>
      </c>
      <c r="H242" s="18">
        <v>1</v>
      </c>
      <c r="I242" s="18">
        <v>10</v>
      </c>
      <c r="J242" s="18">
        <v>436</v>
      </c>
      <c r="K242" s="18" t="s">
        <v>20</v>
      </c>
      <c r="L242" s="19">
        <v>487</v>
      </c>
      <c r="M242" s="18">
        <v>15</v>
      </c>
      <c r="N242" s="18" t="s">
        <v>20</v>
      </c>
      <c r="O242" s="19">
        <v>21</v>
      </c>
      <c r="P242" s="17">
        <v>7</v>
      </c>
      <c r="Q242" s="17">
        <f t="shared" si="37"/>
        <v>309233333</v>
      </c>
      <c r="R242" s="17">
        <f t="shared" si="33"/>
        <v>24222</v>
      </c>
      <c r="S242" s="17">
        <f t="shared" si="34"/>
        <v>84055069</v>
      </c>
      <c r="T242" s="17">
        <f t="shared" si="35"/>
        <v>56101087</v>
      </c>
      <c r="U242" s="17">
        <f t="shared" si="36"/>
        <v>56</v>
      </c>
      <c r="V242" s="17">
        <f t="shared" si="38"/>
        <v>69</v>
      </c>
      <c r="W242" s="17" t="str">
        <f t="shared" si="32"/>
        <v>LL Platz 7 Rang 0</v>
      </c>
    </row>
    <row r="243" spans="1:23" x14ac:dyDescent="0.35">
      <c r="A243" s="17"/>
      <c r="B243" s="17"/>
      <c r="C243" s="16"/>
      <c r="D243" s="18">
        <v>8</v>
      </c>
      <c r="E243" s="18" t="s">
        <v>158</v>
      </c>
      <c r="F243" s="18">
        <v>18</v>
      </c>
      <c r="G243" s="18">
        <v>5</v>
      </c>
      <c r="H243" s="18">
        <v>3</v>
      </c>
      <c r="I243" s="18">
        <v>10</v>
      </c>
      <c r="J243" s="18">
        <v>417</v>
      </c>
      <c r="K243" s="18" t="s">
        <v>20</v>
      </c>
      <c r="L243" s="19">
        <v>461</v>
      </c>
      <c r="M243" s="18">
        <v>13</v>
      </c>
      <c r="N243" s="18" t="s">
        <v>20</v>
      </c>
      <c r="O243" s="19">
        <v>23</v>
      </c>
      <c r="P243" s="17">
        <v>7</v>
      </c>
      <c r="Q243" s="17">
        <f t="shared" si="37"/>
        <v>309128888</v>
      </c>
      <c r="R243" s="17">
        <f t="shared" si="33"/>
        <v>23166</v>
      </c>
      <c r="S243" s="17">
        <f t="shared" si="34"/>
        <v>85500070</v>
      </c>
      <c r="T243" s="17">
        <f t="shared" si="35"/>
        <v>60119072</v>
      </c>
      <c r="U243" s="17">
        <f t="shared" si="36"/>
        <v>61</v>
      </c>
      <c r="V243" s="17">
        <f t="shared" si="38"/>
        <v>70</v>
      </c>
      <c r="W243" s="17" t="str">
        <f t="shared" si="32"/>
        <v>LL Platz 8 Rang 1</v>
      </c>
    </row>
    <row r="244" spans="1:23" x14ac:dyDescent="0.35">
      <c r="A244" s="17"/>
      <c r="B244" s="17"/>
      <c r="C244" s="16"/>
      <c r="D244" s="18">
        <v>9</v>
      </c>
      <c r="E244" s="18" t="s">
        <v>441</v>
      </c>
      <c r="F244" s="18">
        <v>18</v>
      </c>
      <c r="G244" s="18">
        <v>4</v>
      </c>
      <c r="H244" s="18">
        <v>0</v>
      </c>
      <c r="I244" s="18">
        <v>14</v>
      </c>
      <c r="J244" s="18">
        <v>390</v>
      </c>
      <c r="K244" s="18" t="s">
        <v>20</v>
      </c>
      <c r="L244" s="19">
        <v>537</v>
      </c>
      <c r="M244" s="18">
        <v>8</v>
      </c>
      <c r="N244" s="18" t="s">
        <v>20</v>
      </c>
      <c r="O244" s="19">
        <v>28</v>
      </c>
      <c r="P244" s="17">
        <v>7</v>
      </c>
      <c r="Q244" s="17">
        <f t="shared" si="37"/>
        <v>309017777</v>
      </c>
      <c r="R244" s="17">
        <f t="shared" si="33"/>
        <v>21666</v>
      </c>
      <c r="S244" s="17">
        <f t="shared" si="34"/>
        <v>81277071</v>
      </c>
      <c r="T244" s="17">
        <f t="shared" si="35"/>
        <v>65138121</v>
      </c>
      <c r="U244" s="17">
        <f t="shared" si="36"/>
        <v>65</v>
      </c>
      <c r="V244" s="17">
        <f t="shared" si="38"/>
        <v>71</v>
      </c>
      <c r="W244" s="17" t="str">
        <f t="shared" si="32"/>
        <v>LL Platz 9 Rang 1</v>
      </c>
    </row>
    <row r="245" spans="1:23" x14ac:dyDescent="0.35">
      <c r="A245" s="17"/>
      <c r="B245" s="17"/>
      <c r="C245" s="16"/>
      <c r="D245" s="18">
        <v>10</v>
      </c>
      <c r="E245" s="18" t="s">
        <v>190</v>
      </c>
      <c r="F245" s="18">
        <v>18</v>
      </c>
      <c r="G245" s="18">
        <v>1</v>
      </c>
      <c r="H245" s="18">
        <v>0</v>
      </c>
      <c r="I245" s="18">
        <v>17</v>
      </c>
      <c r="J245" s="18">
        <v>395</v>
      </c>
      <c r="K245" s="18" t="s">
        <v>20</v>
      </c>
      <c r="L245" s="19">
        <v>483</v>
      </c>
      <c r="M245" s="18">
        <v>2</v>
      </c>
      <c r="N245" s="18" t="s">
        <v>20</v>
      </c>
      <c r="O245" s="19">
        <v>34</v>
      </c>
      <c r="P245" s="17">
        <v>7</v>
      </c>
      <c r="Q245" s="17">
        <f t="shared" si="37"/>
        <v>308904444</v>
      </c>
      <c r="R245" s="17">
        <f t="shared" si="33"/>
        <v>21944</v>
      </c>
      <c r="S245" s="17">
        <f t="shared" si="34"/>
        <v>84277072</v>
      </c>
      <c r="T245" s="17">
        <f t="shared" si="35"/>
        <v>69135083</v>
      </c>
      <c r="U245" s="17">
        <f t="shared" si="36"/>
        <v>70</v>
      </c>
      <c r="V245" s="17">
        <f t="shared" si="38"/>
        <v>72</v>
      </c>
      <c r="W245" s="17" t="str">
        <f t="shared" si="32"/>
        <v>LL Platz 10 Rang 2</v>
      </c>
    </row>
    <row r="246" spans="1:23" x14ac:dyDescent="0.35">
      <c r="A246" s="17"/>
      <c r="B246" s="17"/>
      <c r="C246" s="14" t="s">
        <v>528</v>
      </c>
      <c r="D246" s="18">
        <v>1</v>
      </c>
      <c r="E246" s="18" t="s">
        <v>442</v>
      </c>
      <c r="F246" s="18">
        <v>16</v>
      </c>
      <c r="G246" s="18">
        <v>13</v>
      </c>
      <c r="H246" s="18">
        <v>1</v>
      </c>
      <c r="I246" s="18">
        <v>2</v>
      </c>
      <c r="J246" s="18">
        <v>400</v>
      </c>
      <c r="K246" s="18" t="s">
        <v>20</v>
      </c>
      <c r="L246" s="19">
        <v>335</v>
      </c>
      <c r="M246" s="18">
        <v>27</v>
      </c>
      <c r="N246" s="18" t="s">
        <v>20</v>
      </c>
      <c r="O246" s="19">
        <v>5</v>
      </c>
      <c r="P246" s="17">
        <v>8</v>
      </c>
      <c r="Q246" s="17">
        <f t="shared" si="37"/>
        <v>209867500</v>
      </c>
      <c r="R246" s="17">
        <f t="shared" si="33"/>
        <v>25000</v>
      </c>
      <c r="S246" s="17">
        <f t="shared" si="34"/>
        <v>104062073</v>
      </c>
      <c r="T246" s="17">
        <f t="shared" si="35"/>
        <v>76094004</v>
      </c>
      <c r="U246" s="17">
        <f t="shared" si="36"/>
        <v>76</v>
      </c>
      <c r="V246" s="17">
        <f t="shared" si="38"/>
        <v>73</v>
      </c>
      <c r="W246" s="17" t="str">
        <f>"BOL Platz "&amp;D246&amp;" Rang "&amp;(U246-64-8*D246)</f>
        <v>BOL Platz 1 Rang 4</v>
      </c>
    </row>
    <row r="247" spans="1:23" x14ac:dyDescent="0.35">
      <c r="A247" s="17"/>
      <c r="B247" s="17"/>
      <c r="C247" s="14"/>
      <c r="D247" s="18">
        <v>2</v>
      </c>
      <c r="E247" s="18" t="s">
        <v>446</v>
      </c>
      <c r="F247" s="18">
        <v>16</v>
      </c>
      <c r="G247" s="18">
        <v>10</v>
      </c>
      <c r="H247" s="18">
        <v>1</v>
      </c>
      <c r="I247" s="18">
        <v>5</v>
      </c>
      <c r="J247" s="18">
        <v>460</v>
      </c>
      <c r="K247" s="18" t="s">
        <v>20</v>
      </c>
      <c r="L247" s="19">
        <v>417</v>
      </c>
      <c r="M247" s="18">
        <v>21</v>
      </c>
      <c r="N247" s="18" t="s">
        <v>20</v>
      </c>
      <c r="O247" s="19">
        <v>11</v>
      </c>
      <c r="P247" s="17">
        <v>8</v>
      </c>
      <c r="Q247" s="17">
        <f t="shared" si="37"/>
        <v>209752500</v>
      </c>
      <c r="R247" s="17">
        <f t="shared" si="33"/>
        <v>28750</v>
      </c>
      <c r="S247" s="17">
        <f t="shared" si="34"/>
        <v>98937074</v>
      </c>
      <c r="T247" s="17">
        <f t="shared" si="35"/>
        <v>86029019</v>
      </c>
      <c r="U247" s="17">
        <f t="shared" si="36"/>
        <v>86</v>
      </c>
      <c r="V247" s="17">
        <f t="shared" si="38"/>
        <v>74</v>
      </c>
      <c r="W247" s="17" t="str">
        <f t="shared" ref="W247:W310" si="39">"BOL Platz "&amp;D247&amp;" Rang "&amp;(U247-64-8*D247)</f>
        <v>BOL Platz 2 Rang 6</v>
      </c>
    </row>
    <row r="248" spans="1:23" x14ac:dyDescent="0.35">
      <c r="A248" s="17"/>
      <c r="B248" s="17"/>
      <c r="C248" s="14"/>
      <c r="D248" s="18">
        <v>3</v>
      </c>
      <c r="E248" s="18" t="s">
        <v>209</v>
      </c>
      <c r="F248" s="18">
        <v>16</v>
      </c>
      <c r="G248" s="18">
        <v>10</v>
      </c>
      <c r="H248" s="18">
        <v>0</v>
      </c>
      <c r="I248" s="18">
        <v>6</v>
      </c>
      <c r="J248" s="18">
        <v>416</v>
      </c>
      <c r="K248" s="18" t="s">
        <v>20</v>
      </c>
      <c r="L248" s="19">
        <v>411</v>
      </c>
      <c r="M248" s="18">
        <v>20</v>
      </c>
      <c r="N248" s="18" t="s">
        <v>20</v>
      </c>
      <c r="O248" s="19">
        <v>12</v>
      </c>
      <c r="P248" s="17">
        <v>8</v>
      </c>
      <c r="Q248" s="17">
        <f t="shared" si="37"/>
        <v>209650000</v>
      </c>
      <c r="R248" s="17">
        <f t="shared" si="33"/>
        <v>26000</v>
      </c>
      <c r="S248" s="17">
        <f t="shared" si="34"/>
        <v>99312075</v>
      </c>
      <c r="T248" s="17">
        <f t="shared" si="35"/>
        <v>92075017</v>
      </c>
      <c r="U248" s="17">
        <f t="shared" si="36"/>
        <v>93</v>
      </c>
      <c r="V248" s="17">
        <f t="shared" si="38"/>
        <v>75</v>
      </c>
      <c r="W248" s="17" t="str">
        <f t="shared" si="39"/>
        <v>BOL Platz 3 Rang 5</v>
      </c>
    </row>
    <row r="249" spans="1:23" x14ac:dyDescent="0.35">
      <c r="A249" s="17"/>
      <c r="B249" s="17"/>
      <c r="C249" s="14"/>
      <c r="D249" s="18">
        <v>4</v>
      </c>
      <c r="E249" s="18" t="s">
        <v>443</v>
      </c>
      <c r="F249" s="18">
        <v>16</v>
      </c>
      <c r="G249" s="18">
        <v>10</v>
      </c>
      <c r="H249" s="18">
        <v>0</v>
      </c>
      <c r="I249" s="18">
        <v>6</v>
      </c>
      <c r="J249" s="18">
        <v>428</v>
      </c>
      <c r="K249" s="18" t="s">
        <v>20</v>
      </c>
      <c r="L249" s="19">
        <v>342</v>
      </c>
      <c r="M249" s="18">
        <v>20</v>
      </c>
      <c r="N249" s="18" t="s">
        <v>20</v>
      </c>
      <c r="O249" s="19">
        <v>12</v>
      </c>
      <c r="P249" s="17">
        <v>8</v>
      </c>
      <c r="Q249" s="17">
        <f t="shared" si="37"/>
        <v>209550000</v>
      </c>
      <c r="R249" s="17">
        <f t="shared" si="33"/>
        <v>26750</v>
      </c>
      <c r="S249" s="17">
        <f t="shared" si="34"/>
        <v>103625076</v>
      </c>
      <c r="T249" s="17">
        <f t="shared" si="35"/>
        <v>97061006</v>
      </c>
      <c r="U249" s="17">
        <f t="shared" si="36"/>
        <v>97</v>
      </c>
      <c r="V249" s="17">
        <f t="shared" si="38"/>
        <v>76</v>
      </c>
      <c r="W249" s="17" t="str">
        <f t="shared" si="39"/>
        <v>BOL Platz 4 Rang 1</v>
      </c>
    </row>
    <row r="250" spans="1:23" x14ac:dyDescent="0.35">
      <c r="A250" s="17"/>
      <c r="B250" s="17"/>
      <c r="C250" s="14"/>
      <c r="D250" s="18">
        <v>5</v>
      </c>
      <c r="E250" s="18" t="s">
        <v>444</v>
      </c>
      <c r="F250" s="18">
        <v>16</v>
      </c>
      <c r="G250" s="18">
        <v>8</v>
      </c>
      <c r="H250" s="18">
        <v>0</v>
      </c>
      <c r="I250" s="18">
        <v>8</v>
      </c>
      <c r="J250" s="18">
        <v>422</v>
      </c>
      <c r="K250" s="18" t="s">
        <v>20</v>
      </c>
      <c r="L250" s="19">
        <v>406</v>
      </c>
      <c r="M250" s="18">
        <v>16</v>
      </c>
      <c r="N250" s="18" t="s">
        <v>20</v>
      </c>
      <c r="O250" s="19">
        <v>16</v>
      </c>
      <c r="P250" s="17">
        <v>8</v>
      </c>
      <c r="Q250" s="17">
        <f t="shared" si="37"/>
        <v>209440000</v>
      </c>
      <c r="R250" s="17">
        <f t="shared" si="33"/>
        <v>26375</v>
      </c>
      <c r="S250" s="17">
        <f t="shared" si="34"/>
        <v>99625077</v>
      </c>
      <c r="T250" s="17">
        <f t="shared" si="35"/>
        <v>106068014</v>
      </c>
      <c r="U250" s="17">
        <f t="shared" si="36"/>
        <v>106</v>
      </c>
      <c r="V250" s="17">
        <f t="shared" si="38"/>
        <v>77</v>
      </c>
      <c r="W250" s="17" t="str">
        <f t="shared" si="39"/>
        <v>BOL Platz 5 Rang 2</v>
      </c>
    </row>
    <row r="251" spans="1:23" x14ac:dyDescent="0.35">
      <c r="A251" s="17"/>
      <c r="B251" s="17"/>
      <c r="C251" s="14"/>
      <c r="D251" s="18">
        <v>6</v>
      </c>
      <c r="E251" s="18" t="s">
        <v>445</v>
      </c>
      <c r="F251" s="18">
        <v>16</v>
      </c>
      <c r="G251" s="18">
        <v>7</v>
      </c>
      <c r="H251" s="18">
        <v>0</v>
      </c>
      <c r="I251" s="18">
        <v>9</v>
      </c>
      <c r="J251" s="18">
        <v>336</v>
      </c>
      <c r="K251" s="18" t="s">
        <v>20</v>
      </c>
      <c r="L251" s="19">
        <v>378</v>
      </c>
      <c r="M251" s="18">
        <v>14</v>
      </c>
      <c r="N251" s="18" t="s">
        <v>20</v>
      </c>
      <c r="O251" s="19">
        <v>18</v>
      </c>
      <c r="P251" s="17">
        <v>8</v>
      </c>
      <c r="Q251" s="17">
        <f t="shared" si="37"/>
        <v>209335000</v>
      </c>
      <c r="R251" s="17">
        <f t="shared" si="33"/>
        <v>21000</v>
      </c>
      <c r="S251" s="17">
        <f t="shared" si="34"/>
        <v>101375078</v>
      </c>
      <c r="T251" s="17">
        <f t="shared" si="35"/>
        <v>114145010</v>
      </c>
      <c r="U251" s="17">
        <f t="shared" si="36"/>
        <v>114</v>
      </c>
      <c r="V251" s="17">
        <f t="shared" si="38"/>
        <v>78</v>
      </c>
      <c r="W251" s="17" t="str">
        <f t="shared" si="39"/>
        <v>BOL Platz 6 Rang 2</v>
      </c>
    </row>
    <row r="252" spans="1:23" x14ac:dyDescent="0.35">
      <c r="A252" s="17"/>
      <c r="B252" s="17"/>
      <c r="C252" s="14"/>
      <c r="D252" s="18">
        <v>7</v>
      </c>
      <c r="E252" s="18" t="s">
        <v>46</v>
      </c>
      <c r="F252" s="18">
        <v>16</v>
      </c>
      <c r="G252" s="18">
        <v>5</v>
      </c>
      <c r="H252" s="18">
        <v>1</v>
      </c>
      <c r="I252" s="18">
        <v>10</v>
      </c>
      <c r="J252" s="18">
        <v>379</v>
      </c>
      <c r="K252" s="18" t="s">
        <v>20</v>
      </c>
      <c r="L252" s="19">
        <v>383</v>
      </c>
      <c r="M252" s="18">
        <v>11</v>
      </c>
      <c r="N252" s="18" t="s">
        <v>20</v>
      </c>
      <c r="O252" s="19">
        <v>21</v>
      </c>
      <c r="P252" s="17">
        <v>8</v>
      </c>
      <c r="Q252" s="17">
        <f t="shared" si="37"/>
        <v>209227500</v>
      </c>
      <c r="R252" s="17">
        <f t="shared" si="33"/>
        <v>23687</v>
      </c>
      <c r="S252" s="17">
        <f t="shared" si="34"/>
        <v>101062079</v>
      </c>
      <c r="T252" s="17">
        <f t="shared" si="35"/>
        <v>123114011</v>
      </c>
      <c r="U252" s="17">
        <f t="shared" si="36"/>
        <v>123</v>
      </c>
      <c r="V252" s="17">
        <f t="shared" si="38"/>
        <v>79</v>
      </c>
      <c r="W252" s="17" t="str">
        <f t="shared" si="39"/>
        <v>BOL Platz 7 Rang 3</v>
      </c>
    </row>
    <row r="253" spans="1:23" x14ac:dyDescent="0.35">
      <c r="A253" s="17"/>
      <c r="B253" s="17"/>
      <c r="C253" s="14"/>
      <c r="D253" s="18">
        <v>8</v>
      </c>
      <c r="E253" s="18" t="s">
        <v>447</v>
      </c>
      <c r="F253" s="18">
        <v>16</v>
      </c>
      <c r="G253" s="18">
        <v>5</v>
      </c>
      <c r="H253" s="18">
        <v>1</v>
      </c>
      <c r="I253" s="18">
        <v>10</v>
      </c>
      <c r="J253" s="18">
        <v>412</v>
      </c>
      <c r="K253" s="18" t="s">
        <v>20</v>
      </c>
      <c r="L253" s="19">
        <v>458</v>
      </c>
      <c r="M253" s="18">
        <v>11</v>
      </c>
      <c r="N253" s="18" t="s">
        <v>20</v>
      </c>
      <c r="O253" s="19">
        <v>21</v>
      </c>
      <c r="P253" s="17">
        <v>8</v>
      </c>
      <c r="Q253" s="17">
        <f t="shared" si="37"/>
        <v>209127500</v>
      </c>
      <c r="R253" s="17">
        <f t="shared" si="33"/>
        <v>25750</v>
      </c>
      <c r="S253" s="17">
        <f t="shared" si="34"/>
        <v>96375080</v>
      </c>
      <c r="T253" s="17">
        <f t="shared" si="35"/>
        <v>128082024</v>
      </c>
      <c r="U253" s="17">
        <f t="shared" si="36"/>
        <v>128</v>
      </c>
      <c r="V253" s="17">
        <f t="shared" si="38"/>
        <v>80</v>
      </c>
      <c r="W253" s="17" t="str">
        <f t="shared" si="39"/>
        <v>BOL Platz 8 Rang 0</v>
      </c>
    </row>
    <row r="254" spans="1:23" x14ac:dyDescent="0.35">
      <c r="A254" s="17"/>
      <c r="B254" s="17"/>
      <c r="C254" s="14"/>
      <c r="D254" s="18">
        <v>9</v>
      </c>
      <c r="E254" s="18" t="s">
        <v>347</v>
      </c>
      <c r="F254" s="18">
        <v>16</v>
      </c>
      <c r="G254" s="18">
        <v>2</v>
      </c>
      <c r="H254" s="18">
        <v>0</v>
      </c>
      <c r="I254" s="18">
        <v>14</v>
      </c>
      <c r="J254" s="18">
        <v>285</v>
      </c>
      <c r="K254" s="18" t="s">
        <v>20</v>
      </c>
      <c r="L254" s="19">
        <v>408</v>
      </c>
      <c r="M254" s="18">
        <v>4</v>
      </c>
      <c r="N254" s="18" t="s">
        <v>20</v>
      </c>
      <c r="O254" s="19">
        <v>28</v>
      </c>
      <c r="P254" s="17">
        <v>8</v>
      </c>
      <c r="Q254" s="17">
        <f t="shared" si="37"/>
        <v>209010000</v>
      </c>
      <c r="R254" s="17">
        <f t="shared" si="33"/>
        <v>17812</v>
      </c>
      <c r="S254" s="17">
        <f t="shared" si="34"/>
        <v>99500081</v>
      </c>
      <c r="T254" s="17">
        <f t="shared" si="35"/>
        <v>140148015</v>
      </c>
      <c r="U254" s="17">
        <f t="shared" si="36"/>
        <v>141</v>
      </c>
      <c r="V254" s="17">
        <f t="shared" si="38"/>
        <v>81</v>
      </c>
      <c r="W254" s="17" t="str">
        <f t="shared" si="39"/>
        <v>BOL Platz 9 Rang 5</v>
      </c>
    </row>
    <row r="255" spans="1:23" x14ac:dyDescent="0.35">
      <c r="A255" s="17"/>
      <c r="B255" s="17"/>
      <c r="C255" s="14" t="s">
        <v>529</v>
      </c>
      <c r="D255" s="18">
        <v>1</v>
      </c>
      <c r="E255" s="18" t="s">
        <v>214</v>
      </c>
      <c r="F255" s="18">
        <v>18</v>
      </c>
      <c r="G255" s="18">
        <v>15</v>
      </c>
      <c r="H255" s="18">
        <v>0</v>
      </c>
      <c r="I255" s="18">
        <v>3</v>
      </c>
      <c r="J255" s="18">
        <v>502</v>
      </c>
      <c r="K255" s="18" t="s">
        <v>20</v>
      </c>
      <c r="L255" s="19">
        <v>427</v>
      </c>
      <c r="M255" s="18">
        <v>30</v>
      </c>
      <c r="N255" s="18" t="s">
        <v>20</v>
      </c>
      <c r="O255" s="19">
        <v>6</v>
      </c>
      <c r="P255" s="17">
        <v>8</v>
      </c>
      <c r="Q255" s="17">
        <f t="shared" si="37"/>
        <v>209866666</v>
      </c>
      <c r="R255" s="17">
        <f t="shared" si="33"/>
        <v>27888</v>
      </c>
      <c r="S255" s="17">
        <f t="shared" si="34"/>
        <v>87388082</v>
      </c>
      <c r="T255" s="17">
        <f t="shared" si="35"/>
        <v>77042051</v>
      </c>
      <c r="U255" s="17">
        <f t="shared" si="36"/>
        <v>78</v>
      </c>
      <c r="V255" s="17">
        <f t="shared" si="38"/>
        <v>82</v>
      </c>
      <c r="W255" s="17" t="str">
        <f t="shared" si="39"/>
        <v>BOL Platz 1 Rang 6</v>
      </c>
    </row>
    <row r="256" spans="1:23" x14ac:dyDescent="0.35">
      <c r="A256" s="17"/>
      <c r="B256" s="17"/>
      <c r="C256" s="16"/>
      <c r="D256" s="18">
        <v>2</v>
      </c>
      <c r="E256" s="18" t="s">
        <v>216</v>
      </c>
      <c r="F256" s="18">
        <v>18</v>
      </c>
      <c r="G256" s="18">
        <v>14</v>
      </c>
      <c r="H256" s="18">
        <v>0</v>
      </c>
      <c r="I256" s="18">
        <v>4</v>
      </c>
      <c r="J256" s="18">
        <v>493</v>
      </c>
      <c r="K256" s="18" t="s">
        <v>20</v>
      </c>
      <c r="L256" s="19">
        <v>360</v>
      </c>
      <c r="M256" s="18">
        <v>28</v>
      </c>
      <c r="N256" s="18" t="s">
        <v>20</v>
      </c>
      <c r="O256" s="19">
        <v>8</v>
      </c>
      <c r="P256" s="17">
        <v>8</v>
      </c>
      <c r="Q256" s="17">
        <f t="shared" si="37"/>
        <v>209762222</v>
      </c>
      <c r="R256" s="17">
        <f t="shared" si="33"/>
        <v>27388</v>
      </c>
      <c r="S256" s="17">
        <f t="shared" si="34"/>
        <v>91111083</v>
      </c>
      <c r="T256" s="17">
        <f t="shared" si="35"/>
        <v>82053033</v>
      </c>
      <c r="U256" s="17">
        <f t="shared" si="36"/>
        <v>82</v>
      </c>
      <c r="V256" s="17">
        <f t="shared" si="38"/>
        <v>83</v>
      </c>
      <c r="W256" s="17" t="str">
        <f t="shared" si="39"/>
        <v>BOL Platz 2 Rang 2</v>
      </c>
    </row>
    <row r="257" spans="1:23" x14ac:dyDescent="0.35">
      <c r="A257" s="17"/>
      <c r="B257" s="17"/>
      <c r="C257" s="14"/>
      <c r="D257" s="18">
        <v>3</v>
      </c>
      <c r="E257" s="18" t="s">
        <v>128</v>
      </c>
      <c r="F257" s="18">
        <v>18</v>
      </c>
      <c r="G257" s="18">
        <v>14</v>
      </c>
      <c r="H257" s="18">
        <v>0</v>
      </c>
      <c r="I257" s="18">
        <v>4</v>
      </c>
      <c r="J257" s="18">
        <v>524</v>
      </c>
      <c r="K257" s="18" t="s">
        <v>20</v>
      </c>
      <c r="L257" s="19">
        <v>417</v>
      </c>
      <c r="M257" s="18">
        <v>28</v>
      </c>
      <c r="N257" s="18" t="s">
        <v>20</v>
      </c>
      <c r="O257" s="19">
        <v>8</v>
      </c>
      <c r="P257" s="17">
        <v>8</v>
      </c>
      <c r="Q257" s="17">
        <f t="shared" si="37"/>
        <v>209662222</v>
      </c>
      <c r="R257" s="17">
        <f t="shared" si="33"/>
        <v>29111</v>
      </c>
      <c r="S257" s="17">
        <f t="shared" si="34"/>
        <v>87944084</v>
      </c>
      <c r="T257" s="17">
        <f t="shared" si="35"/>
        <v>88024045</v>
      </c>
      <c r="U257" s="17">
        <f t="shared" si="36"/>
        <v>88</v>
      </c>
      <c r="V257" s="17">
        <f t="shared" si="38"/>
        <v>84</v>
      </c>
      <c r="W257" s="17" t="str">
        <f t="shared" si="39"/>
        <v>BOL Platz 3 Rang 0</v>
      </c>
    </row>
    <row r="258" spans="1:23" x14ac:dyDescent="0.35">
      <c r="A258" s="17"/>
      <c r="B258" s="17"/>
      <c r="C258" s="14"/>
      <c r="D258" s="18">
        <v>4</v>
      </c>
      <c r="E258" s="18" t="s">
        <v>448</v>
      </c>
      <c r="F258" s="18">
        <v>18</v>
      </c>
      <c r="G258" s="18">
        <v>12</v>
      </c>
      <c r="H258" s="18">
        <v>0</v>
      </c>
      <c r="I258" s="18">
        <v>6</v>
      </c>
      <c r="J258" s="18">
        <v>513</v>
      </c>
      <c r="K258" s="18" t="s">
        <v>20</v>
      </c>
      <c r="L258" s="19">
        <v>462</v>
      </c>
      <c r="M258" s="18">
        <v>24</v>
      </c>
      <c r="N258" s="18" t="s">
        <v>20</v>
      </c>
      <c r="O258" s="19">
        <v>12</v>
      </c>
      <c r="P258" s="17">
        <v>8</v>
      </c>
      <c r="Q258" s="17">
        <f t="shared" si="37"/>
        <v>209553333</v>
      </c>
      <c r="R258" s="17">
        <f t="shared" si="33"/>
        <v>28500</v>
      </c>
      <c r="S258" s="17">
        <f t="shared" si="34"/>
        <v>85444085</v>
      </c>
      <c r="T258" s="17">
        <f t="shared" si="35"/>
        <v>95034074</v>
      </c>
      <c r="U258" s="17">
        <f t="shared" si="36"/>
        <v>95</v>
      </c>
      <c r="V258" s="17">
        <f t="shared" si="38"/>
        <v>85</v>
      </c>
      <c r="W258" s="17" t="str">
        <f t="shared" si="39"/>
        <v>BOL Platz 4 Rang -1</v>
      </c>
    </row>
    <row r="259" spans="1:23" x14ac:dyDescent="0.35">
      <c r="A259" s="17"/>
      <c r="B259" s="17"/>
      <c r="C259" s="14"/>
      <c r="D259" s="18">
        <v>5</v>
      </c>
      <c r="E259" s="18" t="s">
        <v>108</v>
      </c>
      <c r="F259" s="18">
        <v>18</v>
      </c>
      <c r="G259" s="18">
        <v>9</v>
      </c>
      <c r="H259" s="18">
        <v>0</v>
      </c>
      <c r="I259" s="18">
        <v>9</v>
      </c>
      <c r="J259" s="18">
        <v>453</v>
      </c>
      <c r="K259" s="18" t="s">
        <v>20</v>
      </c>
      <c r="L259" s="19">
        <v>471</v>
      </c>
      <c r="M259" s="18">
        <v>18</v>
      </c>
      <c r="N259" s="18" t="s">
        <v>20</v>
      </c>
      <c r="O259" s="19">
        <v>18</v>
      </c>
      <c r="P259" s="17">
        <v>8</v>
      </c>
      <c r="Q259" s="17">
        <f t="shared" si="37"/>
        <v>209440000</v>
      </c>
      <c r="R259" s="17">
        <f t="shared" si="33"/>
        <v>25166</v>
      </c>
      <c r="S259" s="17">
        <f t="shared" si="34"/>
        <v>84944086</v>
      </c>
      <c r="T259" s="17">
        <f t="shared" si="35"/>
        <v>106091078</v>
      </c>
      <c r="U259" s="17">
        <f t="shared" si="36"/>
        <v>107</v>
      </c>
      <c r="V259" s="17">
        <f t="shared" si="38"/>
        <v>86</v>
      </c>
      <c r="W259" s="17" t="str">
        <f t="shared" si="39"/>
        <v>BOL Platz 5 Rang 3</v>
      </c>
    </row>
    <row r="260" spans="1:23" x14ac:dyDescent="0.35">
      <c r="A260" s="17"/>
      <c r="B260" s="17"/>
      <c r="C260" s="14"/>
      <c r="D260" s="18">
        <v>6</v>
      </c>
      <c r="E260" s="18" t="s">
        <v>450</v>
      </c>
      <c r="F260" s="18">
        <v>18</v>
      </c>
      <c r="G260" s="18">
        <v>7</v>
      </c>
      <c r="H260" s="18">
        <v>1</v>
      </c>
      <c r="I260" s="18">
        <v>10</v>
      </c>
      <c r="J260" s="18">
        <v>464</v>
      </c>
      <c r="K260" s="18" t="s">
        <v>20</v>
      </c>
      <c r="L260" s="19">
        <v>488</v>
      </c>
      <c r="M260" s="18">
        <v>15</v>
      </c>
      <c r="N260" s="18" t="s">
        <v>20</v>
      </c>
      <c r="O260" s="19">
        <v>21</v>
      </c>
      <c r="P260" s="17">
        <v>8</v>
      </c>
      <c r="Q260" s="17">
        <f t="shared" si="37"/>
        <v>209333333</v>
      </c>
      <c r="R260" s="17">
        <f t="shared" si="33"/>
        <v>25777</v>
      </c>
      <c r="S260" s="17">
        <f t="shared" si="34"/>
        <v>84000087</v>
      </c>
      <c r="T260" s="17">
        <f t="shared" si="35"/>
        <v>115081090</v>
      </c>
      <c r="U260" s="17">
        <f t="shared" si="36"/>
        <v>115</v>
      </c>
      <c r="V260" s="17">
        <f t="shared" si="38"/>
        <v>87</v>
      </c>
      <c r="W260" s="17" t="str">
        <f t="shared" si="39"/>
        <v>BOL Platz 6 Rang 3</v>
      </c>
    </row>
    <row r="261" spans="1:23" x14ac:dyDescent="0.35">
      <c r="A261" s="17"/>
      <c r="B261" s="17"/>
      <c r="C261" s="14"/>
      <c r="D261" s="18">
        <v>7</v>
      </c>
      <c r="E261" s="18" t="s">
        <v>449</v>
      </c>
      <c r="F261" s="18">
        <v>18</v>
      </c>
      <c r="G261" s="18">
        <v>7</v>
      </c>
      <c r="H261" s="18">
        <v>1</v>
      </c>
      <c r="I261" s="18">
        <v>10</v>
      </c>
      <c r="J261" s="18">
        <v>427</v>
      </c>
      <c r="K261" s="18" t="s">
        <v>20</v>
      </c>
      <c r="L261" s="19">
        <v>467</v>
      </c>
      <c r="M261" s="18">
        <v>15</v>
      </c>
      <c r="N261" s="18" t="s">
        <v>20</v>
      </c>
      <c r="O261" s="19">
        <v>21</v>
      </c>
      <c r="P261" s="17">
        <v>8</v>
      </c>
      <c r="Q261" s="17">
        <f t="shared" si="37"/>
        <v>209233333</v>
      </c>
      <c r="R261" s="17">
        <f t="shared" si="33"/>
        <v>23722</v>
      </c>
      <c r="S261" s="17">
        <f t="shared" si="34"/>
        <v>85166088</v>
      </c>
      <c r="T261" s="17">
        <f t="shared" si="35"/>
        <v>119110076</v>
      </c>
      <c r="U261" s="17">
        <f t="shared" si="36"/>
        <v>119</v>
      </c>
      <c r="V261" s="17">
        <f t="shared" si="38"/>
        <v>88</v>
      </c>
      <c r="W261" s="17" t="str">
        <f t="shared" si="39"/>
        <v>BOL Platz 7 Rang -1</v>
      </c>
    </row>
    <row r="262" spans="1:23" x14ac:dyDescent="0.35">
      <c r="A262" s="17"/>
      <c r="B262" s="17"/>
      <c r="C262" s="14"/>
      <c r="D262" s="18">
        <v>8</v>
      </c>
      <c r="E262" s="18" t="s">
        <v>103</v>
      </c>
      <c r="F262" s="18">
        <v>18</v>
      </c>
      <c r="G262" s="18">
        <v>5</v>
      </c>
      <c r="H262" s="18">
        <v>1</v>
      </c>
      <c r="I262" s="18">
        <v>12</v>
      </c>
      <c r="J262" s="18">
        <v>449</v>
      </c>
      <c r="K262" s="18" t="s">
        <v>20</v>
      </c>
      <c r="L262" s="19">
        <v>522</v>
      </c>
      <c r="M262" s="18">
        <v>11</v>
      </c>
      <c r="N262" s="18" t="s">
        <v>20</v>
      </c>
      <c r="O262" s="19">
        <v>25</v>
      </c>
      <c r="P262" s="17">
        <v>8</v>
      </c>
      <c r="Q262" s="17">
        <f t="shared" si="37"/>
        <v>209124444</v>
      </c>
      <c r="R262" s="17">
        <f t="shared" si="33"/>
        <v>24944</v>
      </c>
      <c r="S262" s="17">
        <f t="shared" si="34"/>
        <v>82111089</v>
      </c>
      <c r="T262" s="17">
        <f t="shared" si="35"/>
        <v>130095114</v>
      </c>
      <c r="U262" s="17">
        <f t="shared" si="36"/>
        <v>130</v>
      </c>
      <c r="V262" s="17">
        <f t="shared" si="38"/>
        <v>89</v>
      </c>
      <c r="W262" s="17" t="str">
        <f t="shared" si="39"/>
        <v>BOL Platz 8 Rang 2</v>
      </c>
    </row>
    <row r="263" spans="1:23" x14ac:dyDescent="0.35">
      <c r="A263" s="17"/>
      <c r="B263" s="17"/>
      <c r="C263" s="14"/>
      <c r="D263" s="18">
        <v>9</v>
      </c>
      <c r="E263" s="18" t="s">
        <v>452</v>
      </c>
      <c r="F263" s="18">
        <v>18</v>
      </c>
      <c r="G263" s="18">
        <v>3</v>
      </c>
      <c r="H263" s="18">
        <v>0</v>
      </c>
      <c r="I263" s="18">
        <v>15</v>
      </c>
      <c r="J263" s="18">
        <v>414</v>
      </c>
      <c r="K263" s="18" t="s">
        <v>20</v>
      </c>
      <c r="L263" s="19">
        <v>476</v>
      </c>
      <c r="M263" s="18">
        <v>6</v>
      </c>
      <c r="N263" s="18" t="s">
        <v>20</v>
      </c>
      <c r="O263" s="19">
        <v>30</v>
      </c>
      <c r="P263" s="17">
        <v>8</v>
      </c>
      <c r="Q263" s="17">
        <f t="shared" si="37"/>
        <v>209013333</v>
      </c>
      <c r="R263" s="17">
        <f t="shared" si="33"/>
        <v>23000</v>
      </c>
      <c r="S263" s="17">
        <f t="shared" si="34"/>
        <v>84666090</v>
      </c>
      <c r="T263" s="17">
        <f t="shared" si="35"/>
        <v>139121079</v>
      </c>
      <c r="U263" s="17">
        <f t="shared" si="36"/>
        <v>139</v>
      </c>
      <c r="V263" s="17">
        <f t="shared" si="38"/>
        <v>90</v>
      </c>
      <c r="W263" s="17" t="str">
        <f t="shared" si="39"/>
        <v>BOL Platz 9 Rang 3</v>
      </c>
    </row>
    <row r="264" spans="1:23" x14ac:dyDescent="0.35">
      <c r="A264" s="17"/>
      <c r="B264" s="17"/>
      <c r="C264" s="14"/>
      <c r="D264" s="18">
        <v>10</v>
      </c>
      <c r="E264" s="18" t="s">
        <v>451</v>
      </c>
      <c r="F264" s="18">
        <v>18</v>
      </c>
      <c r="G264" s="18">
        <v>2</v>
      </c>
      <c r="H264" s="18">
        <v>1</v>
      </c>
      <c r="I264" s="18">
        <v>15</v>
      </c>
      <c r="J264" s="18">
        <v>302</v>
      </c>
      <c r="K264" s="18" t="s">
        <v>20</v>
      </c>
      <c r="L264" s="19">
        <v>451</v>
      </c>
      <c r="M264" s="18">
        <v>5</v>
      </c>
      <c r="N264" s="18" t="s">
        <v>20</v>
      </c>
      <c r="O264" s="19">
        <v>31</v>
      </c>
      <c r="P264" s="17">
        <v>8</v>
      </c>
      <c r="Q264" s="17">
        <f t="shared" si="37"/>
        <v>208911111</v>
      </c>
      <c r="R264" s="17">
        <f t="shared" si="33"/>
        <v>16777</v>
      </c>
      <c r="S264" s="17">
        <f t="shared" si="34"/>
        <v>86055091</v>
      </c>
      <c r="T264" s="17">
        <f t="shared" si="35"/>
        <v>145150067</v>
      </c>
      <c r="U264" s="17">
        <f t="shared" si="36"/>
        <v>145</v>
      </c>
      <c r="V264" s="17">
        <f t="shared" si="38"/>
        <v>91</v>
      </c>
      <c r="W264" s="17" t="str">
        <f t="shared" si="39"/>
        <v>BOL Platz 10 Rang 1</v>
      </c>
    </row>
    <row r="265" spans="1:23" x14ac:dyDescent="0.35">
      <c r="A265" s="17"/>
      <c r="B265" s="17"/>
      <c r="C265" s="14" t="s">
        <v>530</v>
      </c>
      <c r="D265" s="18">
        <v>1</v>
      </c>
      <c r="E265" s="18" t="s">
        <v>136</v>
      </c>
      <c r="F265" s="18">
        <v>18</v>
      </c>
      <c r="G265" s="18">
        <v>16</v>
      </c>
      <c r="H265" s="18">
        <v>0</v>
      </c>
      <c r="I265" s="18">
        <v>2</v>
      </c>
      <c r="J265" s="18">
        <v>456</v>
      </c>
      <c r="K265" s="18" t="s">
        <v>20</v>
      </c>
      <c r="L265" s="19">
        <v>351</v>
      </c>
      <c r="M265" s="18">
        <v>32</v>
      </c>
      <c r="N265" s="18" t="s">
        <v>20</v>
      </c>
      <c r="O265" s="19">
        <v>4</v>
      </c>
      <c r="P265" s="17">
        <v>8</v>
      </c>
      <c r="Q265" s="17">
        <f t="shared" si="37"/>
        <v>209871111</v>
      </c>
      <c r="R265" s="17">
        <f t="shared" si="33"/>
        <v>25333</v>
      </c>
      <c r="S265" s="17">
        <f t="shared" si="34"/>
        <v>91611092</v>
      </c>
      <c r="T265" s="17">
        <f t="shared" si="35"/>
        <v>73087032</v>
      </c>
      <c r="U265" s="17">
        <f t="shared" si="36"/>
        <v>74</v>
      </c>
      <c r="V265" s="17">
        <f t="shared" si="38"/>
        <v>92</v>
      </c>
      <c r="W265" s="17" t="str">
        <f t="shared" si="39"/>
        <v>BOL Platz 1 Rang 2</v>
      </c>
    </row>
    <row r="266" spans="1:23" x14ac:dyDescent="0.35">
      <c r="A266" s="17"/>
      <c r="B266" s="17"/>
      <c r="C266" s="14"/>
      <c r="D266" s="18">
        <v>2</v>
      </c>
      <c r="E266" s="18" t="s">
        <v>137</v>
      </c>
      <c r="F266" s="18">
        <v>18</v>
      </c>
      <c r="G266" s="18">
        <v>12</v>
      </c>
      <c r="H266" s="18">
        <v>1</v>
      </c>
      <c r="I266" s="18">
        <v>5</v>
      </c>
      <c r="J266" s="18">
        <v>517</v>
      </c>
      <c r="K266" s="18" t="s">
        <v>20</v>
      </c>
      <c r="L266" s="19">
        <v>429</v>
      </c>
      <c r="M266" s="18">
        <v>25</v>
      </c>
      <c r="N266" s="18" t="s">
        <v>20</v>
      </c>
      <c r="O266" s="19">
        <v>11</v>
      </c>
      <c r="P266" s="17">
        <v>8</v>
      </c>
      <c r="Q266" s="17">
        <f t="shared" si="37"/>
        <v>209755555</v>
      </c>
      <c r="R266" s="17">
        <f t="shared" si="33"/>
        <v>28722</v>
      </c>
      <c r="S266" s="17">
        <f t="shared" si="34"/>
        <v>87277093</v>
      </c>
      <c r="T266" s="17">
        <f t="shared" si="35"/>
        <v>85030053</v>
      </c>
      <c r="U266" s="17">
        <f t="shared" si="36"/>
        <v>85</v>
      </c>
      <c r="V266" s="17">
        <f t="shared" si="38"/>
        <v>93</v>
      </c>
      <c r="W266" s="17" t="str">
        <f t="shared" si="39"/>
        <v>BOL Platz 2 Rang 5</v>
      </c>
    </row>
    <row r="267" spans="1:23" x14ac:dyDescent="0.35">
      <c r="A267" s="17"/>
      <c r="B267" s="17"/>
      <c r="C267" s="14"/>
      <c r="D267" s="18">
        <v>3</v>
      </c>
      <c r="E267" s="18" t="s">
        <v>104</v>
      </c>
      <c r="F267" s="18">
        <v>18</v>
      </c>
      <c r="G267" s="18">
        <v>12</v>
      </c>
      <c r="H267" s="18">
        <v>0</v>
      </c>
      <c r="I267" s="18">
        <v>6</v>
      </c>
      <c r="J267" s="18">
        <v>494</v>
      </c>
      <c r="K267" s="18" t="s">
        <v>20</v>
      </c>
      <c r="L267" s="19">
        <v>429</v>
      </c>
      <c r="M267" s="18">
        <v>24</v>
      </c>
      <c r="N267" s="18" t="s">
        <v>20</v>
      </c>
      <c r="O267" s="19">
        <v>12</v>
      </c>
      <c r="P267" s="17">
        <v>8</v>
      </c>
      <c r="Q267" s="17">
        <f t="shared" si="37"/>
        <v>209653333</v>
      </c>
      <c r="R267" s="17">
        <f t="shared" si="33"/>
        <v>27444</v>
      </c>
      <c r="S267" s="17">
        <f t="shared" si="34"/>
        <v>87277094</v>
      </c>
      <c r="T267" s="17">
        <f t="shared" si="35"/>
        <v>91052052</v>
      </c>
      <c r="U267" s="17">
        <f t="shared" si="36"/>
        <v>91</v>
      </c>
      <c r="V267" s="17">
        <f t="shared" si="38"/>
        <v>94</v>
      </c>
      <c r="W267" s="17" t="str">
        <f t="shared" si="39"/>
        <v>BOL Platz 3 Rang 3</v>
      </c>
    </row>
    <row r="268" spans="1:23" x14ac:dyDescent="0.35">
      <c r="A268" s="17"/>
      <c r="B268" s="17"/>
      <c r="C268" s="14"/>
      <c r="D268" s="18">
        <v>4</v>
      </c>
      <c r="E268" s="18" t="s">
        <v>453</v>
      </c>
      <c r="F268" s="18">
        <v>18</v>
      </c>
      <c r="G268" s="18">
        <v>10</v>
      </c>
      <c r="H268" s="18">
        <v>0</v>
      </c>
      <c r="I268" s="18">
        <v>8</v>
      </c>
      <c r="J268" s="18">
        <v>468</v>
      </c>
      <c r="K268" s="18" t="s">
        <v>20</v>
      </c>
      <c r="L268" s="19">
        <v>448</v>
      </c>
      <c r="M268" s="18">
        <v>20</v>
      </c>
      <c r="N268" s="18" t="s">
        <v>20</v>
      </c>
      <c r="O268" s="19">
        <v>16</v>
      </c>
      <c r="P268" s="17">
        <v>8</v>
      </c>
      <c r="Q268" s="17">
        <f t="shared" si="37"/>
        <v>209544444</v>
      </c>
      <c r="R268" s="17">
        <f t="shared" si="33"/>
        <v>26000</v>
      </c>
      <c r="S268" s="17">
        <f t="shared" si="34"/>
        <v>86222095</v>
      </c>
      <c r="T268" s="17">
        <f t="shared" si="35"/>
        <v>100075064</v>
      </c>
      <c r="U268" s="17">
        <f t="shared" si="36"/>
        <v>100</v>
      </c>
      <c r="V268" s="17">
        <f t="shared" si="38"/>
        <v>95</v>
      </c>
      <c r="W268" s="17" t="str">
        <f t="shared" si="39"/>
        <v>BOL Platz 4 Rang 4</v>
      </c>
    </row>
    <row r="269" spans="1:23" x14ac:dyDescent="0.35">
      <c r="A269" s="17"/>
      <c r="B269" s="17"/>
      <c r="C269" s="14"/>
      <c r="D269" s="18">
        <v>5</v>
      </c>
      <c r="E269" s="18" t="s">
        <v>263</v>
      </c>
      <c r="F269" s="18">
        <v>18</v>
      </c>
      <c r="G269" s="18">
        <v>8</v>
      </c>
      <c r="H269" s="18">
        <v>0</v>
      </c>
      <c r="I269" s="18">
        <v>10</v>
      </c>
      <c r="J269" s="18">
        <v>397</v>
      </c>
      <c r="K269" s="18" t="s">
        <v>20</v>
      </c>
      <c r="L269" s="19">
        <v>416</v>
      </c>
      <c r="M269" s="18">
        <v>16</v>
      </c>
      <c r="N269" s="18" t="s">
        <v>20</v>
      </c>
      <c r="O269" s="19">
        <v>20</v>
      </c>
      <c r="P269" s="17">
        <v>8</v>
      </c>
      <c r="Q269" s="17">
        <f t="shared" si="37"/>
        <v>209435555</v>
      </c>
      <c r="R269" s="17">
        <f t="shared" si="33"/>
        <v>22055</v>
      </c>
      <c r="S269" s="17">
        <f t="shared" si="34"/>
        <v>88000096</v>
      </c>
      <c r="T269" s="17">
        <f t="shared" si="35"/>
        <v>109134043</v>
      </c>
      <c r="U269" s="17">
        <f t="shared" si="36"/>
        <v>109</v>
      </c>
      <c r="V269" s="17">
        <f t="shared" si="38"/>
        <v>96</v>
      </c>
      <c r="W269" s="17" t="str">
        <f t="shared" si="39"/>
        <v>BOL Platz 5 Rang 5</v>
      </c>
    </row>
    <row r="270" spans="1:23" x14ac:dyDescent="0.35">
      <c r="A270" s="17"/>
      <c r="B270" s="17"/>
      <c r="C270" s="14"/>
      <c r="D270" s="18">
        <v>6</v>
      </c>
      <c r="E270" s="18" t="s">
        <v>265</v>
      </c>
      <c r="F270" s="18">
        <v>18</v>
      </c>
      <c r="G270" s="18">
        <v>7</v>
      </c>
      <c r="H270" s="18">
        <v>1</v>
      </c>
      <c r="I270" s="18">
        <v>10</v>
      </c>
      <c r="J270" s="18">
        <v>427</v>
      </c>
      <c r="K270" s="18" t="s">
        <v>20</v>
      </c>
      <c r="L270" s="19">
        <v>451</v>
      </c>
      <c r="M270" s="18">
        <v>15</v>
      </c>
      <c r="N270" s="18" t="s">
        <v>20</v>
      </c>
      <c r="O270" s="19">
        <v>21</v>
      </c>
      <c r="P270" s="17">
        <v>8</v>
      </c>
      <c r="Q270" s="17">
        <f t="shared" si="37"/>
        <v>209333333</v>
      </c>
      <c r="R270" s="17">
        <f t="shared" si="33"/>
        <v>23722</v>
      </c>
      <c r="S270" s="17">
        <f t="shared" si="34"/>
        <v>86055097</v>
      </c>
      <c r="T270" s="17">
        <f t="shared" ref="T270:T301" si="40">RANK(S270,S$174:S$325)+1000*RANK(R270,R$174:R$325)+1000000*RANK(Q270,Q$174:Q$325)</f>
        <v>115110066</v>
      </c>
      <c r="U270" s="17">
        <f t="shared" ref="U270:U301" si="41">RANK(T270,T$174:T$325,1)</f>
        <v>116</v>
      </c>
      <c r="V270" s="17">
        <f t="shared" si="38"/>
        <v>97</v>
      </c>
      <c r="W270" s="17" t="str">
        <f t="shared" si="39"/>
        <v>BOL Platz 6 Rang 4</v>
      </c>
    </row>
    <row r="271" spans="1:23" x14ac:dyDescent="0.35">
      <c r="A271" s="17"/>
      <c r="B271" s="17"/>
      <c r="C271" s="14"/>
      <c r="D271" s="18">
        <v>7</v>
      </c>
      <c r="E271" s="18" t="s">
        <v>106</v>
      </c>
      <c r="F271" s="18">
        <v>18</v>
      </c>
      <c r="G271" s="18">
        <v>7</v>
      </c>
      <c r="H271" s="18">
        <v>1</v>
      </c>
      <c r="I271" s="18">
        <v>10</v>
      </c>
      <c r="J271" s="18">
        <v>415</v>
      </c>
      <c r="K271" s="18" t="s">
        <v>20</v>
      </c>
      <c r="L271" s="19">
        <v>415</v>
      </c>
      <c r="M271" s="18">
        <v>15</v>
      </c>
      <c r="N271" s="18" t="s">
        <v>20</v>
      </c>
      <c r="O271" s="19">
        <v>21</v>
      </c>
      <c r="P271" s="17">
        <v>8</v>
      </c>
      <c r="Q271" s="17">
        <f t="shared" si="37"/>
        <v>209233333</v>
      </c>
      <c r="R271" s="17">
        <f t="shared" si="33"/>
        <v>23055</v>
      </c>
      <c r="S271" s="17">
        <f t="shared" si="34"/>
        <v>88055098</v>
      </c>
      <c r="T271" s="17">
        <f t="shared" si="40"/>
        <v>119120041</v>
      </c>
      <c r="U271" s="17">
        <f t="shared" si="41"/>
        <v>120</v>
      </c>
      <c r="V271" s="17">
        <f t="shared" si="38"/>
        <v>98</v>
      </c>
      <c r="W271" s="17" t="str">
        <f t="shared" si="39"/>
        <v>BOL Platz 7 Rang 0</v>
      </c>
    </row>
    <row r="272" spans="1:23" x14ac:dyDescent="0.35">
      <c r="A272" s="17"/>
      <c r="B272" s="17"/>
      <c r="C272" s="14"/>
      <c r="D272" s="18">
        <v>8</v>
      </c>
      <c r="E272" s="18" t="s">
        <v>269</v>
      </c>
      <c r="F272" s="18">
        <v>18</v>
      </c>
      <c r="G272" s="18">
        <v>7</v>
      </c>
      <c r="H272" s="18">
        <v>1</v>
      </c>
      <c r="I272" s="18">
        <v>10</v>
      </c>
      <c r="J272" s="18">
        <v>462</v>
      </c>
      <c r="K272" s="18" t="s">
        <v>20</v>
      </c>
      <c r="L272" s="19">
        <v>487</v>
      </c>
      <c r="M272" s="18">
        <v>15</v>
      </c>
      <c r="N272" s="18" t="s">
        <v>20</v>
      </c>
      <c r="O272" s="19">
        <v>21</v>
      </c>
      <c r="P272" s="17">
        <v>8</v>
      </c>
      <c r="Q272" s="17">
        <f t="shared" si="37"/>
        <v>209133333</v>
      </c>
      <c r="R272" s="17">
        <f t="shared" si="33"/>
        <v>25666</v>
      </c>
      <c r="S272" s="17">
        <f t="shared" si="34"/>
        <v>84055099</v>
      </c>
      <c r="T272" s="17">
        <f t="shared" si="40"/>
        <v>126084086</v>
      </c>
      <c r="U272" s="17">
        <f t="shared" si="41"/>
        <v>126</v>
      </c>
      <c r="V272" s="17">
        <f t="shared" si="38"/>
        <v>99</v>
      </c>
      <c r="W272" s="17" t="str">
        <f t="shared" si="39"/>
        <v>BOL Platz 8 Rang -2</v>
      </c>
    </row>
    <row r="273" spans="1:23" x14ac:dyDescent="0.35">
      <c r="A273" s="17"/>
      <c r="B273" s="17"/>
      <c r="C273" s="14"/>
      <c r="D273" s="18">
        <v>9</v>
      </c>
      <c r="E273" s="18" t="s">
        <v>267</v>
      </c>
      <c r="F273" s="18">
        <v>18</v>
      </c>
      <c r="G273" s="18">
        <v>5</v>
      </c>
      <c r="H273" s="18">
        <v>0</v>
      </c>
      <c r="I273" s="18">
        <v>13</v>
      </c>
      <c r="J273" s="18">
        <v>314</v>
      </c>
      <c r="K273" s="18" t="s">
        <v>20</v>
      </c>
      <c r="L273" s="19">
        <v>406</v>
      </c>
      <c r="M273" s="18">
        <v>10</v>
      </c>
      <c r="N273" s="18" t="s">
        <v>20</v>
      </c>
      <c r="O273" s="19">
        <v>26</v>
      </c>
      <c r="P273" s="17">
        <v>8</v>
      </c>
      <c r="Q273" s="17">
        <f t="shared" si="37"/>
        <v>209022222</v>
      </c>
      <c r="R273" s="17">
        <f t="shared" si="33"/>
        <v>17444</v>
      </c>
      <c r="S273" s="17">
        <f t="shared" si="34"/>
        <v>88555100</v>
      </c>
      <c r="T273" s="17">
        <f t="shared" si="40"/>
        <v>135149037</v>
      </c>
      <c r="U273" s="17">
        <f t="shared" si="41"/>
        <v>137</v>
      </c>
      <c r="V273" s="17">
        <f t="shared" si="38"/>
        <v>100</v>
      </c>
      <c r="W273" s="17" t="str">
        <f t="shared" si="39"/>
        <v>BOL Platz 9 Rang 1</v>
      </c>
    </row>
    <row r="274" spans="1:23" x14ac:dyDescent="0.35">
      <c r="A274" s="17"/>
      <c r="B274" s="17"/>
      <c r="C274" s="14"/>
      <c r="D274" s="18">
        <v>10</v>
      </c>
      <c r="E274" s="18" t="s">
        <v>454</v>
      </c>
      <c r="F274" s="18">
        <v>18</v>
      </c>
      <c r="G274" s="18">
        <v>4</v>
      </c>
      <c r="H274" s="18">
        <v>0</v>
      </c>
      <c r="I274" s="18">
        <v>14</v>
      </c>
      <c r="J274" s="18">
        <v>392</v>
      </c>
      <c r="K274" s="18" t="s">
        <v>20</v>
      </c>
      <c r="L274" s="19">
        <v>510</v>
      </c>
      <c r="M274" s="18">
        <v>8</v>
      </c>
      <c r="N274" s="18" t="s">
        <v>20</v>
      </c>
      <c r="O274" s="19">
        <v>28</v>
      </c>
      <c r="P274" s="17">
        <v>8</v>
      </c>
      <c r="Q274" s="17">
        <f t="shared" si="37"/>
        <v>208917777</v>
      </c>
      <c r="R274" s="17">
        <f t="shared" si="33"/>
        <v>21777</v>
      </c>
      <c r="S274" s="17">
        <f t="shared" si="34"/>
        <v>82777101</v>
      </c>
      <c r="T274" s="17">
        <f t="shared" si="40"/>
        <v>143136103</v>
      </c>
      <c r="U274" s="17">
        <f t="shared" si="41"/>
        <v>143</v>
      </c>
      <c r="V274" s="17">
        <f t="shared" si="38"/>
        <v>101</v>
      </c>
      <c r="W274" s="17" t="str">
        <f t="shared" si="39"/>
        <v>BOL Platz 10 Rang -1</v>
      </c>
    </row>
    <row r="275" spans="1:23" x14ac:dyDescent="0.35">
      <c r="A275" s="17"/>
      <c r="B275" s="17"/>
      <c r="C275" s="14" t="s">
        <v>531</v>
      </c>
      <c r="D275" s="18">
        <v>1</v>
      </c>
      <c r="E275" s="18" t="s">
        <v>221</v>
      </c>
      <c r="F275" s="18">
        <v>22</v>
      </c>
      <c r="G275" s="18">
        <v>19</v>
      </c>
      <c r="H275" s="18">
        <v>0</v>
      </c>
      <c r="I275" s="18">
        <v>3</v>
      </c>
      <c r="J275" s="18">
        <v>650</v>
      </c>
      <c r="K275" s="18" t="s">
        <v>20</v>
      </c>
      <c r="L275" s="19">
        <v>523</v>
      </c>
      <c r="M275" s="18">
        <v>38</v>
      </c>
      <c r="N275" s="18" t="s">
        <v>20</v>
      </c>
      <c r="O275" s="19">
        <v>6</v>
      </c>
      <c r="P275" s="17">
        <v>8</v>
      </c>
      <c r="Q275" s="17">
        <f t="shared" si="37"/>
        <v>209869090</v>
      </c>
      <c r="R275" s="17">
        <f t="shared" si="33"/>
        <v>29545</v>
      </c>
      <c r="S275" s="17">
        <f t="shared" si="34"/>
        <v>67136102</v>
      </c>
      <c r="T275" s="17">
        <f t="shared" si="40"/>
        <v>75020146</v>
      </c>
      <c r="U275" s="17">
        <f t="shared" si="41"/>
        <v>75</v>
      </c>
      <c r="V275" s="17">
        <f t="shared" si="38"/>
        <v>102</v>
      </c>
      <c r="W275" s="17" t="str">
        <f t="shared" si="39"/>
        <v>BOL Platz 1 Rang 3</v>
      </c>
    </row>
    <row r="276" spans="1:23" x14ac:dyDescent="0.35">
      <c r="A276" s="17"/>
      <c r="B276" s="17"/>
      <c r="C276" s="14"/>
      <c r="D276" s="18">
        <v>2</v>
      </c>
      <c r="E276" s="18" t="s">
        <v>455</v>
      </c>
      <c r="F276" s="18">
        <v>22</v>
      </c>
      <c r="G276" s="18">
        <v>19</v>
      </c>
      <c r="H276" s="18">
        <v>0</v>
      </c>
      <c r="I276" s="18">
        <v>3</v>
      </c>
      <c r="J276" s="18">
        <v>583</v>
      </c>
      <c r="K276" s="18" t="s">
        <v>20</v>
      </c>
      <c r="L276" s="19">
        <v>482</v>
      </c>
      <c r="M276" s="18">
        <v>38</v>
      </c>
      <c r="N276" s="18" t="s">
        <v>20</v>
      </c>
      <c r="O276" s="19">
        <v>6</v>
      </c>
      <c r="P276" s="17">
        <v>8</v>
      </c>
      <c r="Q276" s="17">
        <f t="shared" si="37"/>
        <v>209769090</v>
      </c>
      <c r="R276" s="17">
        <f t="shared" si="33"/>
        <v>26500</v>
      </c>
      <c r="S276" s="17">
        <f t="shared" si="34"/>
        <v>69000103</v>
      </c>
      <c r="T276" s="17">
        <f t="shared" si="40"/>
        <v>79066142</v>
      </c>
      <c r="U276" s="17">
        <f t="shared" si="41"/>
        <v>79</v>
      </c>
      <c r="V276" s="17">
        <f t="shared" si="38"/>
        <v>103</v>
      </c>
      <c r="W276" s="17" t="str">
        <f t="shared" si="39"/>
        <v>BOL Platz 2 Rang -1</v>
      </c>
    </row>
    <row r="277" spans="1:23" x14ac:dyDescent="0.35">
      <c r="A277" s="17"/>
      <c r="B277" s="17"/>
      <c r="C277" s="14"/>
      <c r="D277" s="18">
        <v>3</v>
      </c>
      <c r="E277" s="18" t="s">
        <v>456</v>
      </c>
      <c r="F277" s="18">
        <v>22</v>
      </c>
      <c r="G277" s="18">
        <v>18</v>
      </c>
      <c r="H277" s="18">
        <v>0</v>
      </c>
      <c r="I277" s="18">
        <v>4</v>
      </c>
      <c r="J277" s="18">
        <v>665</v>
      </c>
      <c r="K277" s="18" t="s">
        <v>20</v>
      </c>
      <c r="L277" s="19">
        <v>484</v>
      </c>
      <c r="M277" s="18">
        <v>36</v>
      </c>
      <c r="N277" s="18" t="s">
        <v>20</v>
      </c>
      <c r="O277" s="19">
        <v>8</v>
      </c>
      <c r="P277" s="17">
        <v>8</v>
      </c>
      <c r="Q277" s="17">
        <f t="shared" si="37"/>
        <v>209665454</v>
      </c>
      <c r="R277" s="17">
        <f t="shared" si="33"/>
        <v>30227</v>
      </c>
      <c r="S277" s="17">
        <f t="shared" si="34"/>
        <v>68909104</v>
      </c>
      <c r="T277" s="17">
        <f t="shared" si="40"/>
        <v>87013143</v>
      </c>
      <c r="U277" s="17">
        <f t="shared" si="41"/>
        <v>87</v>
      </c>
      <c r="V277" s="17">
        <f t="shared" si="38"/>
        <v>104</v>
      </c>
      <c r="W277" s="17" t="str">
        <f t="shared" si="39"/>
        <v>BOL Platz 3 Rang -1</v>
      </c>
    </row>
    <row r="278" spans="1:23" x14ac:dyDescent="0.35">
      <c r="A278" s="17"/>
      <c r="B278" s="17"/>
      <c r="C278" s="14"/>
      <c r="D278" s="18">
        <v>4</v>
      </c>
      <c r="E278" s="18" t="s">
        <v>220</v>
      </c>
      <c r="F278" s="18">
        <v>22</v>
      </c>
      <c r="G278" s="18">
        <v>16</v>
      </c>
      <c r="H278" s="18">
        <v>0</v>
      </c>
      <c r="I278" s="18">
        <v>6</v>
      </c>
      <c r="J278" s="18">
        <v>644</v>
      </c>
      <c r="K278" s="18" t="s">
        <v>20</v>
      </c>
      <c r="L278" s="19">
        <v>596</v>
      </c>
      <c r="M278" s="18">
        <v>32</v>
      </c>
      <c r="N278" s="18" t="s">
        <v>20</v>
      </c>
      <c r="O278" s="19">
        <v>12</v>
      </c>
      <c r="P278" s="17">
        <v>8</v>
      </c>
      <c r="Q278" s="17">
        <f t="shared" si="37"/>
        <v>209558181</v>
      </c>
      <c r="R278" s="17">
        <f t="shared" si="33"/>
        <v>29272</v>
      </c>
      <c r="S278" s="17">
        <f t="shared" si="34"/>
        <v>63818105</v>
      </c>
      <c r="T278" s="17">
        <f t="shared" si="40"/>
        <v>94022150</v>
      </c>
      <c r="U278" s="17">
        <f t="shared" si="41"/>
        <v>94</v>
      </c>
      <c r="V278" s="17">
        <f t="shared" si="38"/>
        <v>105</v>
      </c>
      <c r="W278" s="17" t="str">
        <f t="shared" si="39"/>
        <v>BOL Platz 4 Rang -2</v>
      </c>
    </row>
    <row r="279" spans="1:23" x14ac:dyDescent="0.35">
      <c r="A279" s="17"/>
      <c r="B279" s="17"/>
      <c r="C279" s="14"/>
      <c r="D279" s="18">
        <v>5</v>
      </c>
      <c r="E279" s="18" t="s">
        <v>142</v>
      </c>
      <c r="F279" s="18">
        <v>22</v>
      </c>
      <c r="G279" s="18">
        <v>12</v>
      </c>
      <c r="H279" s="18">
        <v>0</v>
      </c>
      <c r="I279" s="18">
        <v>10</v>
      </c>
      <c r="J279" s="18">
        <v>502</v>
      </c>
      <c r="K279" s="18" t="s">
        <v>20</v>
      </c>
      <c r="L279" s="19">
        <v>497</v>
      </c>
      <c r="M279" s="18">
        <v>24</v>
      </c>
      <c r="N279" s="18" t="s">
        <v>20</v>
      </c>
      <c r="O279" s="19">
        <v>20</v>
      </c>
      <c r="P279" s="17">
        <v>8</v>
      </c>
      <c r="Q279" s="17">
        <f t="shared" si="37"/>
        <v>209443636</v>
      </c>
      <c r="R279" s="17">
        <f t="shared" si="33"/>
        <v>22818</v>
      </c>
      <c r="S279" s="17">
        <f t="shared" si="34"/>
        <v>68318106</v>
      </c>
      <c r="T279" s="17">
        <f t="shared" si="40"/>
        <v>103125145</v>
      </c>
      <c r="U279" s="17">
        <f t="shared" si="41"/>
        <v>103</v>
      </c>
      <c r="V279" s="17">
        <f t="shared" si="38"/>
        <v>106</v>
      </c>
      <c r="W279" s="17" t="str">
        <f t="shared" si="39"/>
        <v>BOL Platz 5 Rang -1</v>
      </c>
    </row>
    <row r="280" spans="1:23" x14ac:dyDescent="0.35">
      <c r="A280" s="17"/>
      <c r="B280" s="17"/>
      <c r="C280" s="14"/>
      <c r="D280" s="18">
        <v>6</v>
      </c>
      <c r="E280" s="18" t="s">
        <v>457</v>
      </c>
      <c r="F280" s="18">
        <v>22</v>
      </c>
      <c r="G280" s="18">
        <v>11</v>
      </c>
      <c r="H280" s="18">
        <v>0</v>
      </c>
      <c r="I280" s="18">
        <v>11</v>
      </c>
      <c r="J280" s="18">
        <v>493</v>
      </c>
      <c r="K280" s="18" t="s">
        <v>20</v>
      </c>
      <c r="L280" s="19">
        <v>481</v>
      </c>
      <c r="M280" s="18">
        <v>22</v>
      </c>
      <c r="N280" s="18" t="s">
        <v>20</v>
      </c>
      <c r="O280" s="19">
        <v>22</v>
      </c>
      <c r="P280" s="17">
        <v>8</v>
      </c>
      <c r="Q280" s="17">
        <f t="shared" si="37"/>
        <v>209340000</v>
      </c>
      <c r="R280" s="17">
        <f t="shared" si="33"/>
        <v>22409</v>
      </c>
      <c r="S280" s="17">
        <f t="shared" si="34"/>
        <v>69045107</v>
      </c>
      <c r="T280" s="17">
        <f t="shared" si="40"/>
        <v>110129141</v>
      </c>
      <c r="U280" s="17">
        <f t="shared" si="41"/>
        <v>110</v>
      </c>
      <c r="V280" s="17">
        <f t="shared" si="38"/>
        <v>107</v>
      </c>
      <c r="W280" s="17" t="str">
        <f t="shared" si="39"/>
        <v>BOL Platz 6 Rang -2</v>
      </c>
    </row>
    <row r="281" spans="1:23" x14ac:dyDescent="0.35">
      <c r="A281" s="17"/>
      <c r="B281" s="17"/>
      <c r="C281" s="14"/>
      <c r="D281" s="18">
        <v>7</v>
      </c>
      <c r="E281" s="18" t="s">
        <v>460</v>
      </c>
      <c r="F281" s="18">
        <v>22</v>
      </c>
      <c r="G281" s="18">
        <v>10</v>
      </c>
      <c r="H281" s="18">
        <v>1</v>
      </c>
      <c r="I281" s="18">
        <v>11</v>
      </c>
      <c r="J281" s="18">
        <v>456</v>
      </c>
      <c r="K281" s="18" t="s">
        <v>20</v>
      </c>
      <c r="L281" s="19">
        <v>492</v>
      </c>
      <c r="M281" s="18">
        <v>21</v>
      </c>
      <c r="N281" s="18" t="s">
        <v>20</v>
      </c>
      <c r="O281" s="19">
        <v>23</v>
      </c>
      <c r="P281" s="17">
        <v>8</v>
      </c>
      <c r="Q281" s="17">
        <f t="shared" si="37"/>
        <v>209238181</v>
      </c>
      <c r="R281" s="17">
        <f t="shared" si="33"/>
        <v>20727</v>
      </c>
      <c r="S281" s="17">
        <f t="shared" si="34"/>
        <v>68545108</v>
      </c>
      <c r="T281" s="17">
        <f t="shared" si="40"/>
        <v>118147144</v>
      </c>
      <c r="U281" s="17">
        <f t="shared" si="41"/>
        <v>118</v>
      </c>
      <c r="V281" s="17">
        <f t="shared" si="38"/>
        <v>108</v>
      </c>
      <c r="W281" s="17" t="str">
        <f t="shared" si="39"/>
        <v>BOL Platz 7 Rang -2</v>
      </c>
    </row>
    <row r="282" spans="1:23" x14ac:dyDescent="0.35">
      <c r="A282" s="17"/>
      <c r="B282" s="17"/>
      <c r="C282" s="14"/>
      <c r="D282" s="18">
        <v>8</v>
      </c>
      <c r="E282" s="18" t="s">
        <v>223</v>
      </c>
      <c r="F282" s="18">
        <v>22</v>
      </c>
      <c r="G282" s="18">
        <v>8</v>
      </c>
      <c r="H282" s="18">
        <v>0</v>
      </c>
      <c r="I282" s="18">
        <v>14</v>
      </c>
      <c r="J282" s="18">
        <v>492</v>
      </c>
      <c r="K282" s="18" t="s">
        <v>20</v>
      </c>
      <c r="L282" s="19">
        <v>544</v>
      </c>
      <c r="M282" s="18">
        <v>16</v>
      </c>
      <c r="N282" s="18" t="s">
        <v>20</v>
      </c>
      <c r="O282" s="19">
        <v>28</v>
      </c>
      <c r="P282" s="17">
        <v>8</v>
      </c>
      <c r="Q282" s="17">
        <f t="shared" si="37"/>
        <v>209129090</v>
      </c>
      <c r="R282" s="17">
        <f t="shared" si="33"/>
        <v>22363</v>
      </c>
      <c r="S282" s="17">
        <f t="shared" si="34"/>
        <v>66181109</v>
      </c>
      <c r="T282" s="17">
        <f t="shared" si="40"/>
        <v>127131148</v>
      </c>
      <c r="U282" s="17">
        <f t="shared" si="41"/>
        <v>127</v>
      </c>
      <c r="V282" s="17">
        <f t="shared" si="38"/>
        <v>109</v>
      </c>
      <c r="W282" s="17" t="str">
        <f t="shared" si="39"/>
        <v>BOL Platz 8 Rang -1</v>
      </c>
    </row>
    <row r="283" spans="1:23" x14ac:dyDescent="0.35">
      <c r="A283" s="17"/>
      <c r="B283" s="17"/>
      <c r="C283" s="14"/>
      <c r="D283" s="18">
        <v>9</v>
      </c>
      <c r="E283" s="18" t="s">
        <v>458</v>
      </c>
      <c r="F283" s="18">
        <v>22</v>
      </c>
      <c r="G283" s="18">
        <v>7</v>
      </c>
      <c r="H283" s="18">
        <v>0</v>
      </c>
      <c r="I283" s="18">
        <v>15</v>
      </c>
      <c r="J283" s="18">
        <v>471</v>
      </c>
      <c r="K283" s="18" t="s">
        <v>20</v>
      </c>
      <c r="L283" s="19">
        <v>530</v>
      </c>
      <c r="M283" s="18">
        <v>14</v>
      </c>
      <c r="N283" s="18" t="s">
        <v>20</v>
      </c>
      <c r="O283" s="19">
        <v>30</v>
      </c>
      <c r="P283" s="17">
        <v>8</v>
      </c>
      <c r="Q283" s="17">
        <f t="shared" si="37"/>
        <v>209025454</v>
      </c>
      <c r="R283" s="17">
        <f t="shared" si="33"/>
        <v>21409</v>
      </c>
      <c r="S283" s="17">
        <f t="shared" si="34"/>
        <v>66818110</v>
      </c>
      <c r="T283" s="17">
        <f t="shared" si="40"/>
        <v>134141147</v>
      </c>
      <c r="U283" s="17">
        <f t="shared" si="41"/>
        <v>134</v>
      </c>
      <c r="V283" s="17">
        <f t="shared" si="38"/>
        <v>110</v>
      </c>
      <c r="W283" s="17" t="str">
        <f t="shared" si="39"/>
        <v>BOL Platz 9 Rang -2</v>
      </c>
    </row>
    <row r="284" spans="1:23" x14ac:dyDescent="0.35">
      <c r="A284" s="17"/>
      <c r="B284" s="17"/>
      <c r="C284" s="16"/>
      <c r="D284" s="18">
        <v>10</v>
      </c>
      <c r="E284" s="18" t="s">
        <v>461</v>
      </c>
      <c r="F284" s="18">
        <v>22</v>
      </c>
      <c r="G284" s="18">
        <v>6</v>
      </c>
      <c r="H284" s="18">
        <v>0</v>
      </c>
      <c r="I284" s="18">
        <v>16</v>
      </c>
      <c r="J284" s="18">
        <v>511</v>
      </c>
      <c r="K284" s="18" t="s">
        <v>20</v>
      </c>
      <c r="L284" s="19">
        <v>621</v>
      </c>
      <c r="M284" s="18">
        <v>12</v>
      </c>
      <c r="N284" s="18" t="s">
        <v>20</v>
      </c>
      <c r="O284" s="19">
        <v>32</v>
      </c>
      <c r="P284" s="17">
        <v>8</v>
      </c>
      <c r="Q284" s="17">
        <f t="shared" si="37"/>
        <v>208921818</v>
      </c>
      <c r="R284" s="17">
        <f t="shared" si="33"/>
        <v>23227</v>
      </c>
      <c r="S284" s="17">
        <f t="shared" si="34"/>
        <v>62681111</v>
      </c>
      <c r="T284" s="17">
        <f t="shared" si="40"/>
        <v>142117152</v>
      </c>
      <c r="U284" s="17">
        <f t="shared" si="41"/>
        <v>142</v>
      </c>
      <c r="V284" s="17">
        <f t="shared" si="38"/>
        <v>111</v>
      </c>
      <c r="W284" s="17" t="str">
        <f t="shared" si="39"/>
        <v>BOL Platz 10 Rang -2</v>
      </c>
    </row>
    <row r="285" spans="1:23" x14ac:dyDescent="0.35">
      <c r="A285" s="17"/>
      <c r="B285" s="17"/>
      <c r="C285" s="16"/>
      <c r="D285" s="18">
        <v>11</v>
      </c>
      <c r="E285" s="18" t="s">
        <v>459</v>
      </c>
      <c r="F285" s="18">
        <v>22</v>
      </c>
      <c r="G285" s="18">
        <v>5</v>
      </c>
      <c r="H285" s="18">
        <v>1</v>
      </c>
      <c r="I285" s="18">
        <v>16</v>
      </c>
      <c r="J285" s="18">
        <v>505</v>
      </c>
      <c r="K285" s="18" t="s">
        <v>20</v>
      </c>
      <c r="L285" s="19">
        <v>580</v>
      </c>
      <c r="M285" s="18">
        <v>11</v>
      </c>
      <c r="N285" s="18" t="s">
        <v>20</v>
      </c>
      <c r="O285" s="19">
        <v>33</v>
      </c>
      <c r="P285" s="17">
        <v>8</v>
      </c>
      <c r="Q285" s="17">
        <f t="shared" si="37"/>
        <v>208820000</v>
      </c>
      <c r="R285" s="17">
        <f t="shared" si="33"/>
        <v>22954</v>
      </c>
      <c r="S285" s="17">
        <f t="shared" si="34"/>
        <v>64545112</v>
      </c>
      <c r="T285" s="17">
        <f t="shared" si="40"/>
        <v>148123149</v>
      </c>
      <c r="U285" s="17">
        <f t="shared" si="41"/>
        <v>148</v>
      </c>
      <c r="V285" s="17">
        <f t="shared" si="38"/>
        <v>112</v>
      </c>
      <c r="W285" s="17" t="str">
        <f t="shared" si="39"/>
        <v>BOL Platz 11 Rang -4</v>
      </c>
    </row>
    <row r="286" spans="1:23" x14ac:dyDescent="0.35">
      <c r="A286" s="17"/>
      <c r="B286" s="17"/>
      <c r="C286" s="16"/>
      <c r="D286" s="18">
        <v>12</v>
      </c>
      <c r="E286" s="18" t="s">
        <v>225</v>
      </c>
      <c r="F286" s="18">
        <v>22</v>
      </c>
      <c r="G286" s="18">
        <v>0</v>
      </c>
      <c r="H286" s="18">
        <v>0</v>
      </c>
      <c r="I286" s="18">
        <v>22</v>
      </c>
      <c r="J286" s="18">
        <v>461</v>
      </c>
      <c r="K286" s="18" t="s">
        <v>20</v>
      </c>
      <c r="L286" s="19">
        <v>603</v>
      </c>
      <c r="M286" s="18">
        <v>0</v>
      </c>
      <c r="N286" s="18" t="s">
        <v>20</v>
      </c>
      <c r="O286" s="19">
        <v>44</v>
      </c>
      <c r="P286" s="17">
        <v>8</v>
      </c>
      <c r="Q286" s="17">
        <f t="shared" si="37"/>
        <v>208700000</v>
      </c>
      <c r="R286" s="17">
        <f t="shared" si="33"/>
        <v>20954</v>
      </c>
      <c r="S286" s="17">
        <f t="shared" si="34"/>
        <v>63500113</v>
      </c>
      <c r="T286" s="17">
        <f t="shared" si="40"/>
        <v>149146151</v>
      </c>
      <c r="U286" s="17">
        <f t="shared" si="41"/>
        <v>149</v>
      </c>
      <c r="V286" s="17">
        <f t="shared" si="38"/>
        <v>113</v>
      </c>
      <c r="W286" s="17" t="str">
        <f t="shared" si="39"/>
        <v>BOL Platz 12 Rang -11</v>
      </c>
    </row>
    <row r="287" spans="1:23" x14ac:dyDescent="0.35">
      <c r="A287" s="17"/>
      <c r="B287" s="17"/>
      <c r="C287" s="14" t="s">
        <v>532</v>
      </c>
      <c r="D287" s="18">
        <v>1</v>
      </c>
      <c r="E287" s="18" t="s">
        <v>462</v>
      </c>
      <c r="F287" s="18">
        <v>18</v>
      </c>
      <c r="G287" s="18">
        <v>17</v>
      </c>
      <c r="H287" s="18">
        <v>0</v>
      </c>
      <c r="I287" s="18">
        <v>1</v>
      </c>
      <c r="J287" s="18">
        <v>559</v>
      </c>
      <c r="K287" s="18" t="s">
        <v>20</v>
      </c>
      <c r="L287" s="19">
        <v>400</v>
      </c>
      <c r="M287" s="18">
        <v>34</v>
      </c>
      <c r="N287" s="18" t="s">
        <v>20</v>
      </c>
      <c r="O287" s="19">
        <v>2</v>
      </c>
      <c r="P287" s="17">
        <v>8</v>
      </c>
      <c r="Q287" s="17">
        <f t="shared" si="37"/>
        <v>209875555</v>
      </c>
      <c r="R287" s="17">
        <f t="shared" si="33"/>
        <v>31055</v>
      </c>
      <c r="S287" s="17">
        <f t="shared" si="34"/>
        <v>88888114</v>
      </c>
      <c r="T287" s="17">
        <f t="shared" si="40"/>
        <v>71010034</v>
      </c>
      <c r="U287" s="17">
        <f t="shared" si="41"/>
        <v>71</v>
      </c>
      <c r="V287" s="17">
        <f t="shared" si="38"/>
        <v>114</v>
      </c>
      <c r="W287" s="17" t="str">
        <f t="shared" si="39"/>
        <v>BOL Platz 1 Rang -1</v>
      </c>
    </row>
    <row r="288" spans="1:23" x14ac:dyDescent="0.35">
      <c r="A288" s="17"/>
      <c r="B288" s="17"/>
      <c r="C288" s="16"/>
      <c r="D288" s="18">
        <v>2</v>
      </c>
      <c r="E288" s="18" t="s">
        <v>145</v>
      </c>
      <c r="F288" s="18">
        <v>18</v>
      </c>
      <c r="G288" s="18">
        <v>14</v>
      </c>
      <c r="H288" s="18">
        <v>0</v>
      </c>
      <c r="I288" s="18">
        <v>4</v>
      </c>
      <c r="J288" s="18">
        <v>472</v>
      </c>
      <c r="K288" s="18" t="s">
        <v>20</v>
      </c>
      <c r="L288" s="19">
        <v>341</v>
      </c>
      <c r="M288" s="18">
        <v>28</v>
      </c>
      <c r="N288" s="18" t="s">
        <v>20</v>
      </c>
      <c r="O288" s="19">
        <v>8</v>
      </c>
      <c r="P288" s="17">
        <v>8</v>
      </c>
      <c r="Q288" s="17">
        <f t="shared" si="37"/>
        <v>209762222</v>
      </c>
      <c r="R288" s="17">
        <f t="shared" si="33"/>
        <v>26222</v>
      </c>
      <c r="S288" s="17">
        <f t="shared" si="34"/>
        <v>92166115</v>
      </c>
      <c r="T288" s="17">
        <f t="shared" si="40"/>
        <v>82070030</v>
      </c>
      <c r="U288" s="17">
        <f t="shared" si="41"/>
        <v>83</v>
      </c>
      <c r="V288" s="17">
        <f t="shared" si="38"/>
        <v>115</v>
      </c>
      <c r="W288" s="17" t="str">
        <f t="shared" si="39"/>
        <v>BOL Platz 2 Rang 3</v>
      </c>
    </row>
    <row r="289" spans="1:23" x14ac:dyDescent="0.35">
      <c r="A289" s="17"/>
      <c r="B289" s="17"/>
      <c r="C289" s="16"/>
      <c r="D289" s="115">
        <v>99</v>
      </c>
      <c r="E289" s="18" t="s">
        <v>236</v>
      </c>
      <c r="F289" s="18">
        <v>18</v>
      </c>
      <c r="G289" s="18">
        <v>13</v>
      </c>
      <c r="H289" s="18">
        <v>0</v>
      </c>
      <c r="I289" s="18">
        <v>5</v>
      </c>
      <c r="J289" s="18">
        <v>427</v>
      </c>
      <c r="K289" s="18" t="s">
        <v>20</v>
      </c>
      <c r="L289" s="19">
        <v>350</v>
      </c>
      <c r="M289" s="18">
        <v>26</v>
      </c>
      <c r="N289" s="18" t="s">
        <v>20</v>
      </c>
      <c r="O289" s="19">
        <v>10</v>
      </c>
      <c r="P289" s="17">
        <v>8</v>
      </c>
      <c r="Q289" s="17">
        <f t="shared" si="37"/>
        <v>200057777</v>
      </c>
      <c r="R289" s="17">
        <f t="shared" si="33"/>
        <v>23722</v>
      </c>
      <c r="S289" s="17">
        <f t="shared" si="34"/>
        <v>91666116</v>
      </c>
      <c r="T289" s="17">
        <f t="shared" si="40"/>
        <v>150110031</v>
      </c>
      <c r="U289" s="17">
        <f t="shared" si="41"/>
        <v>150</v>
      </c>
      <c r="V289" s="17">
        <f t="shared" si="38"/>
        <v>116</v>
      </c>
      <c r="W289" s="17" t="str">
        <f t="shared" si="39"/>
        <v>BOL Platz 99 Rang -706</v>
      </c>
    </row>
    <row r="290" spans="1:23" x14ac:dyDescent="0.35">
      <c r="A290" s="17"/>
      <c r="B290" s="17"/>
      <c r="C290" s="16"/>
      <c r="D290" s="18">
        <v>4</v>
      </c>
      <c r="E290" s="18" t="s">
        <v>141</v>
      </c>
      <c r="F290" s="18">
        <v>18</v>
      </c>
      <c r="G290" s="18">
        <v>12</v>
      </c>
      <c r="H290" s="18">
        <v>0</v>
      </c>
      <c r="I290" s="18">
        <v>6</v>
      </c>
      <c r="J290" s="18">
        <v>504</v>
      </c>
      <c r="K290" s="18" t="s">
        <v>20</v>
      </c>
      <c r="L290" s="19">
        <v>423</v>
      </c>
      <c r="M290" s="18">
        <v>24</v>
      </c>
      <c r="N290" s="18" t="s">
        <v>20</v>
      </c>
      <c r="O290" s="19">
        <v>12</v>
      </c>
      <c r="P290" s="17">
        <v>8</v>
      </c>
      <c r="Q290" s="17">
        <f t="shared" si="37"/>
        <v>209553333</v>
      </c>
      <c r="R290" s="17">
        <f t="shared" si="33"/>
        <v>28000</v>
      </c>
      <c r="S290" s="17">
        <f t="shared" si="34"/>
        <v>87611117</v>
      </c>
      <c r="T290" s="17">
        <f t="shared" si="40"/>
        <v>95037050</v>
      </c>
      <c r="U290" s="17">
        <f t="shared" si="41"/>
        <v>96</v>
      </c>
      <c r="V290" s="17">
        <f t="shared" si="38"/>
        <v>117</v>
      </c>
      <c r="W290" s="17" t="str">
        <f t="shared" si="39"/>
        <v>BOL Platz 4 Rang 0</v>
      </c>
    </row>
    <row r="291" spans="1:23" x14ac:dyDescent="0.35">
      <c r="A291" s="17"/>
      <c r="B291" s="17"/>
      <c r="C291" s="16"/>
      <c r="D291" s="18">
        <v>5</v>
      </c>
      <c r="E291" s="18" t="s">
        <v>155</v>
      </c>
      <c r="F291" s="18">
        <v>18</v>
      </c>
      <c r="G291" s="18">
        <v>11</v>
      </c>
      <c r="H291" s="18">
        <v>1</v>
      </c>
      <c r="I291" s="18">
        <v>6</v>
      </c>
      <c r="J291" s="18">
        <v>439</v>
      </c>
      <c r="K291" s="18" t="s">
        <v>20</v>
      </c>
      <c r="L291" s="19">
        <v>420</v>
      </c>
      <c r="M291" s="18">
        <v>23</v>
      </c>
      <c r="N291" s="18" t="s">
        <v>20</v>
      </c>
      <c r="O291" s="19">
        <v>13</v>
      </c>
      <c r="P291" s="17">
        <v>8</v>
      </c>
      <c r="Q291" s="17">
        <f t="shared" si="37"/>
        <v>209451111</v>
      </c>
      <c r="R291" s="17">
        <f t="shared" si="33"/>
        <v>24388</v>
      </c>
      <c r="S291" s="17">
        <f t="shared" si="34"/>
        <v>87777118</v>
      </c>
      <c r="T291" s="17">
        <f t="shared" si="40"/>
        <v>102098049</v>
      </c>
      <c r="U291" s="17">
        <f t="shared" si="41"/>
        <v>102</v>
      </c>
      <c r="V291" s="17">
        <f t="shared" si="38"/>
        <v>118</v>
      </c>
      <c r="W291" s="17" t="str">
        <f t="shared" si="39"/>
        <v>BOL Platz 5 Rang -2</v>
      </c>
    </row>
    <row r="292" spans="1:23" x14ac:dyDescent="0.35">
      <c r="A292" s="17"/>
      <c r="B292" s="17"/>
      <c r="C292" s="16"/>
      <c r="D292" s="18">
        <v>6</v>
      </c>
      <c r="E292" s="18" t="s">
        <v>463</v>
      </c>
      <c r="F292" s="18">
        <v>18</v>
      </c>
      <c r="G292" s="18">
        <v>6</v>
      </c>
      <c r="H292" s="18">
        <v>0</v>
      </c>
      <c r="I292" s="18">
        <v>12</v>
      </c>
      <c r="J292" s="18">
        <v>419</v>
      </c>
      <c r="K292" s="18" t="s">
        <v>20</v>
      </c>
      <c r="L292" s="19">
        <v>447</v>
      </c>
      <c r="M292" s="18">
        <v>12</v>
      </c>
      <c r="N292" s="18" t="s">
        <v>20</v>
      </c>
      <c r="O292" s="19">
        <v>24</v>
      </c>
      <c r="P292" s="17">
        <v>8</v>
      </c>
      <c r="Q292" s="17">
        <f t="shared" si="37"/>
        <v>209326666</v>
      </c>
      <c r="R292" s="17">
        <f t="shared" si="33"/>
        <v>23277</v>
      </c>
      <c r="S292" s="17">
        <f t="shared" si="34"/>
        <v>86277119</v>
      </c>
      <c r="T292" s="17">
        <f t="shared" si="40"/>
        <v>117116062</v>
      </c>
      <c r="U292" s="17">
        <f t="shared" si="41"/>
        <v>117</v>
      </c>
      <c r="V292" s="17">
        <f t="shared" si="38"/>
        <v>119</v>
      </c>
      <c r="W292" s="17" t="str">
        <f t="shared" si="39"/>
        <v>BOL Platz 6 Rang 5</v>
      </c>
    </row>
    <row r="293" spans="1:23" x14ac:dyDescent="0.35">
      <c r="A293" s="17"/>
      <c r="B293" s="17"/>
      <c r="C293" s="16"/>
      <c r="D293" s="18">
        <v>7</v>
      </c>
      <c r="E293" s="18" t="s">
        <v>464</v>
      </c>
      <c r="F293" s="18">
        <v>18</v>
      </c>
      <c r="G293" s="18">
        <v>5</v>
      </c>
      <c r="H293" s="18">
        <v>1</v>
      </c>
      <c r="I293" s="18">
        <v>12</v>
      </c>
      <c r="J293" s="18">
        <v>380</v>
      </c>
      <c r="K293" s="18" t="s">
        <v>20</v>
      </c>
      <c r="L293" s="19">
        <v>455</v>
      </c>
      <c r="M293" s="18">
        <v>11</v>
      </c>
      <c r="N293" s="18" t="s">
        <v>20</v>
      </c>
      <c r="O293" s="19">
        <v>25</v>
      </c>
      <c r="P293" s="17">
        <v>8</v>
      </c>
      <c r="Q293" s="17">
        <f t="shared" si="37"/>
        <v>209224444</v>
      </c>
      <c r="R293" s="17">
        <f t="shared" si="33"/>
        <v>21111</v>
      </c>
      <c r="S293" s="17">
        <f t="shared" si="34"/>
        <v>85833120</v>
      </c>
      <c r="T293" s="17">
        <f t="shared" si="40"/>
        <v>125144070</v>
      </c>
      <c r="U293" s="17">
        <f t="shared" si="41"/>
        <v>125</v>
      </c>
      <c r="V293" s="17">
        <f t="shared" si="38"/>
        <v>120</v>
      </c>
      <c r="W293" s="17" t="str">
        <f t="shared" si="39"/>
        <v>BOL Platz 7 Rang 5</v>
      </c>
    </row>
    <row r="294" spans="1:23" x14ac:dyDescent="0.35">
      <c r="A294" s="17"/>
      <c r="B294" s="17"/>
      <c r="C294" s="16"/>
      <c r="D294" s="18">
        <v>8</v>
      </c>
      <c r="E294" s="18" t="s">
        <v>465</v>
      </c>
      <c r="F294" s="18">
        <v>18</v>
      </c>
      <c r="G294" s="18">
        <v>5</v>
      </c>
      <c r="H294" s="18">
        <v>0</v>
      </c>
      <c r="I294" s="18">
        <v>13</v>
      </c>
      <c r="J294" s="18">
        <v>391</v>
      </c>
      <c r="K294" s="18" t="s">
        <v>20</v>
      </c>
      <c r="L294" s="19">
        <v>504</v>
      </c>
      <c r="M294" s="18">
        <v>10</v>
      </c>
      <c r="N294" s="18" t="s">
        <v>20</v>
      </c>
      <c r="O294" s="19">
        <v>26</v>
      </c>
      <c r="P294" s="17">
        <v>8</v>
      </c>
      <c r="Q294" s="17">
        <f t="shared" si="37"/>
        <v>209122222</v>
      </c>
      <c r="R294" s="17">
        <f t="shared" si="33"/>
        <v>21722</v>
      </c>
      <c r="S294" s="17">
        <f t="shared" si="34"/>
        <v>83111121</v>
      </c>
      <c r="T294" s="17">
        <f t="shared" si="40"/>
        <v>132137098</v>
      </c>
      <c r="U294" s="17">
        <f t="shared" si="41"/>
        <v>132</v>
      </c>
      <c r="V294" s="17">
        <f t="shared" si="38"/>
        <v>121</v>
      </c>
      <c r="W294" s="17" t="str">
        <f t="shared" si="39"/>
        <v>BOL Platz 8 Rang 4</v>
      </c>
    </row>
    <row r="295" spans="1:23" x14ac:dyDescent="0.35">
      <c r="A295" s="17"/>
      <c r="B295" s="17"/>
      <c r="C295" s="16"/>
      <c r="D295" s="18">
        <v>9</v>
      </c>
      <c r="E295" s="18" t="s">
        <v>228</v>
      </c>
      <c r="F295" s="18">
        <v>18</v>
      </c>
      <c r="G295" s="18">
        <v>5</v>
      </c>
      <c r="H295" s="18">
        <v>0</v>
      </c>
      <c r="I295" s="18">
        <v>13</v>
      </c>
      <c r="J295" s="18">
        <v>399</v>
      </c>
      <c r="K295" s="18" t="s">
        <v>20</v>
      </c>
      <c r="L295" s="19">
        <v>493</v>
      </c>
      <c r="M295" s="18">
        <v>10</v>
      </c>
      <c r="N295" s="18" t="s">
        <v>20</v>
      </c>
      <c r="O295" s="19">
        <v>26</v>
      </c>
      <c r="P295" s="17">
        <v>8</v>
      </c>
      <c r="Q295" s="17">
        <f t="shared" si="37"/>
        <v>209022222</v>
      </c>
      <c r="R295" s="17">
        <f t="shared" si="33"/>
        <v>22166</v>
      </c>
      <c r="S295" s="17">
        <f t="shared" si="34"/>
        <v>83722122</v>
      </c>
      <c r="T295" s="17">
        <f t="shared" si="40"/>
        <v>135133092</v>
      </c>
      <c r="U295" s="17">
        <f t="shared" si="41"/>
        <v>136</v>
      </c>
      <c r="V295" s="17">
        <f t="shared" si="38"/>
        <v>122</v>
      </c>
      <c r="W295" s="17" t="str">
        <f t="shared" si="39"/>
        <v>BOL Platz 9 Rang 0</v>
      </c>
    </row>
    <row r="296" spans="1:23" x14ac:dyDescent="0.35">
      <c r="A296" s="17"/>
      <c r="B296" s="17"/>
      <c r="C296" s="16"/>
      <c r="D296" s="18">
        <v>10</v>
      </c>
      <c r="E296" s="18" t="s">
        <v>231</v>
      </c>
      <c r="F296" s="18">
        <v>18</v>
      </c>
      <c r="G296" s="18">
        <v>1</v>
      </c>
      <c r="H296" s="18">
        <v>0</v>
      </c>
      <c r="I296" s="18">
        <v>17</v>
      </c>
      <c r="J296" s="18">
        <v>385</v>
      </c>
      <c r="K296" s="18" t="s">
        <v>20</v>
      </c>
      <c r="L296" s="19">
        <v>542</v>
      </c>
      <c r="M296" s="18">
        <v>2</v>
      </c>
      <c r="N296" s="18" t="s">
        <v>20</v>
      </c>
      <c r="O296" s="19">
        <v>34</v>
      </c>
      <c r="P296" s="17">
        <v>8</v>
      </c>
      <c r="Q296" s="17">
        <f t="shared" si="37"/>
        <v>208904444</v>
      </c>
      <c r="R296" s="17">
        <f t="shared" si="33"/>
        <v>21388</v>
      </c>
      <c r="S296" s="17">
        <f t="shared" si="34"/>
        <v>81000123</v>
      </c>
      <c r="T296" s="17">
        <f t="shared" si="40"/>
        <v>147142122</v>
      </c>
      <c r="U296" s="17">
        <f t="shared" si="41"/>
        <v>147</v>
      </c>
      <c r="V296" s="17">
        <f t="shared" si="38"/>
        <v>123</v>
      </c>
      <c r="W296" s="17" t="str">
        <f t="shared" si="39"/>
        <v>BOL Platz 10 Rang 3</v>
      </c>
    </row>
    <row r="297" spans="1:23" x14ac:dyDescent="0.35">
      <c r="A297" s="17"/>
      <c r="B297" s="17"/>
      <c r="C297" s="14" t="s">
        <v>533</v>
      </c>
      <c r="D297" s="18">
        <v>1</v>
      </c>
      <c r="E297" s="18" t="s">
        <v>466</v>
      </c>
      <c r="F297" s="18">
        <v>18</v>
      </c>
      <c r="G297" s="18">
        <v>16</v>
      </c>
      <c r="H297" s="18">
        <v>0</v>
      </c>
      <c r="I297" s="18">
        <v>2</v>
      </c>
      <c r="J297" s="18">
        <v>500</v>
      </c>
      <c r="K297" s="18" t="s">
        <v>20</v>
      </c>
      <c r="L297" s="19">
        <v>419</v>
      </c>
      <c r="M297" s="18">
        <v>32</v>
      </c>
      <c r="N297" s="18" t="s">
        <v>20</v>
      </c>
      <c r="O297" s="19">
        <v>4</v>
      </c>
      <c r="P297" s="17">
        <v>8</v>
      </c>
      <c r="Q297" s="17">
        <f t="shared" si="37"/>
        <v>209871111</v>
      </c>
      <c r="R297" s="17">
        <f t="shared" si="33"/>
        <v>27777</v>
      </c>
      <c r="S297" s="17">
        <f t="shared" si="34"/>
        <v>87833124</v>
      </c>
      <c r="T297" s="17">
        <f t="shared" si="40"/>
        <v>73043048</v>
      </c>
      <c r="U297" s="17">
        <f t="shared" si="41"/>
        <v>73</v>
      </c>
      <c r="V297" s="17">
        <f t="shared" si="38"/>
        <v>124</v>
      </c>
      <c r="W297" s="17" t="str">
        <f t="shared" si="39"/>
        <v>BOL Platz 1 Rang 1</v>
      </c>
    </row>
    <row r="298" spans="1:23" x14ac:dyDescent="0.35">
      <c r="A298" s="17"/>
      <c r="B298" s="17"/>
      <c r="C298" s="16"/>
      <c r="D298" s="18">
        <v>2</v>
      </c>
      <c r="E298" s="18" t="s">
        <v>467</v>
      </c>
      <c r="F298" s="18">
        <v>18</v>
      </c>
      <c r="G298" s="18">
        <v>14</v>
      </c>
      <c r="H298" s="18">
        <v>1</v>
      </c>
      <c r="I298" s="18">
        <v>3</v>
      </c>
      <c r="J298" s="18">
        <v>492</v>
      </c>
      <c r="K298" s="18" t="s">
        <v>20</v>
      </c>
      <c r="L298" s="19">
        <v>437</v>
      </c>
      <c r="M298" s="18">
        <v>29</v>
      </c>
      <c r="N298" s="18" t="s">
        <v>20</v>
      </c>
      <c r="O298" s="19">
        <v>7</v>
      </c>
      <c r="P298" s="17">
        <v>8</v>
      </c>
      <c r="Q298" s="17">
        <f t="shared" si="37"/>
        <v>209764444</v>
      </c>
      <c r="R298" s="17">
        <f t="shared" si="33"/>
        <v>27333</v>
      </c>
      <c r="S298" s="17">
        <f t="shared" si="34"/>
        <v>86833125</v>
      </c>
      <c r="T298" s="17">
        <f t="shared" si="40"/>
        <v>80054056</v>
      </c>
      <c r="U298" s="17">
        <f t="shared" si="41"/>
        <v>81</v>
      </c>
      <c r="V298" s="17">
        <f t="shared" si="38"/>
        <v>125</v>
      </c>
      <c r="W298" s="17" t="str">
        <f t="shared" si="39"/>
        <v>BOL Platz 2 Rang 1</v>
      </c>
    </row>
    <row r="299" spans="1:23" x14ac:dyDescent="0.35">
      <c r="A299" s="17"/>
      <c r="B299" s="17"/>
      <c r="C299" s="16"/>
      <c r="D299" s="18">
        <v>3</v>
      </c>
      <c r="E299" s="18" t="s">
        <v>239</v>
      </c>
      <c r="F299" s="18">
        <v>18</v>
      </c>
      <c r="G299" s="18">
        <v>14</v>
      </c>
      <c r="H299" s="18">
        <v>0</v>
      </c>
      <c r="I299" s="18">
        <v>4</v>
      </c>
      <c r="J299" s="18">
        <v>516</v>
      </c>
      <c r="K299" s="18" t="s">
        <v>20</v>
      </c>
      <c r="L299" s="19">
        <v>416</v>
      </c>
      <c r="M299" s="18">
        <v>28</v>
      </c>
      <c r="N299" s="18" t="s">
        <v>20</v>
      </c>
      <c r="O299" s="19">
        <v>8</v>
      </c>
      <c r="P299" s="17">
        <v>8</v>
      </c>
      <c r="Q299" s="17">
        <f t="shared" si="37"/>
        <v>209662222</v>
      </c>
      <c r="R299" s="17">
        <f t="shared" si="33"/>
        <v>28666</v>
      </c>
      <c r="S299" s="17">
        <f t="shared" si="34"/>
        <v>88000126</v>
      </c>
      <c r="T299" s="17">
        <f t="shared" si="40"/>
        <v>88033042</v>
      </c>
      <c r="U299" s="17">
        <f t="shared" si="41"/>
        <v>89</v>
      </c>
      <c r="V299" s="17">
        <f t="shared" si="38"/>
        <v>126</v>
      </c>
      <c r="W299" s="17" t="str">
        <f t="shared" si="39"/>
        <v>BOL Platz 3 Rang 1</v>
      </c>
    </row>
    <row r="300" spans="1:23" x14ac:dyDescent="0.35">
      <c r="A300" s="17"/>
      <c r="B300" s="17"/>
      <c r="C300" s="16"/>
      <c r="D300" s="18">
        <v>4</v>
      </c>
      <c r="E300" s="18" t="s">
        <v>118</v>
      </c>
      <c r="F300" s="18">
        <v>18</v>
      </c>
      <c r="G300" s="18">
        <v>10</v>
      </c>
      <c r="H300" s="18">
        <v>1</v>
      </c>
      <c r="I300" s="18">
        <v>7</v>
      </c>
      <c r="J300" s="18">
        <v>497</v>
      </c>
      <c r="K300" s="18" t="s">
        <v>20</v>
      </c>
      <c r="L300" s="19">
        <v>469</v>
      </c>
      <c r="M300" s="18">
        <v>21</v>
      </c>
      <c r="N300" s="18" t="s">
        <v>20</v>
      </c>
      <c r="O300" s="19">
        <v>15</v>
      </c>
      <c r="P300" s="17">
        <v>8</v>
      </c>
      <c r="Q300" s="17">
        <f t="shared" si="37"/>
        <v>209546666</v>
      </c>
      <c r="R300" s="17">
        <f t="shared" si="33"/>
        <v>27611</v>
      </c>
      <c r="S300" s="17">
        <f t="shared" si="34"/>
        <v>85055127</v>
      </c>
      <c r="T300" s="17">
        <f t="shared" si="40"/>
        <v>98046077</v>
      </c>
      <c r="U300" s="17">
        <f t="shared" si="41"/>
        <v>98</v>
      </c>
      <c r="V300" s="17">
        <f t="shared" si="38"/>
        <v>127</v>
      </c>
      <c r="W300" s="17" t="str">
        <f t="shared" si="39"/>
        <v>BOL Platz 4 Rang 2</v>
      </c>
    </row>
    <row r="301" spans="1:23" x14ac:dyDescent="0.35">
      <c r="A301" s="17"/>
      <c r="B301" s="17"/>
      <c r="C301" s="16"/>
      <c r="D301" s="18">
        <v>5</v>
      </c>
      <c r="E301" s="18" t="s">
        <v>122</v>
      </c>
      <c r="F301" s="18">
        <v>18</v>
      </c>
      <c r="G301" s="18">
        <v>8</v>
      </c>
      <c r="H301" s="18">
        <v>1</v>
      </c>
      <c r="I301" s="18">
        <v>9</v>
      </c>
      <c r="J301" s="18">
        <v>457</v>
      </c>
      <c r="K301" s="18" t="s">
        <v>20</v>
      </c>
      <c r="L301" s="19">
        <v>448</v>
      </c>
      <c r="M301" s="18">
        <v>17</v>
      </c>
      <c r="N301" s="18" t="s">
        <v>20</v>
      </c>
      <c r="O301" s="19">
        <v>19</v>
      </c>
      <c r="P301" s="17">
        <v>8</v>
      </c>
      <c r="Q301" s="17">
        <f t="shared" si="37"/>
        <v>209437777</v>
      </c>
      <c r="R301" s="17">
        <f t="shared" si="33"/>
        <v>25388</v>
      </c>
      <c r="S301" s="17">
        <f t="shared" si="34"/>
        <v>86222128</v>
      </c>
      <c r="T301" s="17">
        <f t="shared" si="40"/>
        <v>108086063</v>
      </c>
      <c r="U301" s="17">
        <f t="shared" si="41"/>
        <v>108</v>
      </c>
      <c r="V301" s="17">
        <f t="shared" si="38"/>
        <v>128</v>
      </c>
      <c r="W301" s="17" t="str">
        <f t="shared" si="39"/>
        <v>BOL Platz 5 Rang 4</v>
      </c>
    </row>
    <row r="302" spans="1:23" x14ac:dyDescent="0.35">
      <c r="A302" s="17"/>
      <c r="B302" s="17"/>
      <c r="C302" s="16"/>
      <c r="D302" s="18">
        <v>6</v>
      </c>
      <c r="E302" s="18" t="s">
        <v>243</v>
      </c>
      <c r="F302" s="18">
        <v>18</v>
      </c>
      <c r="G302" s="18">
        <v>8</v>
      </c>
      <c r="H302" s="18">
        <v>0</v>
      </c>
      <c r="I302" s="18">
        <v>10</v>
      </c>
      <c r="J302" s="18">
        <v>496</v>
      </c>
      <c r="K302" s="18" t="s">
        <v>20</v>
      </c>
      <c r="L302" s="19">
        <v>553</v>
      </c>
      <c r="M302" s="18">
        <v>16</v>
      </c>
      <c r="N302" s="18" t="s">
        <v>20</v>
      </c>
      <c r="O302" s="19">
        <v>20</v>
      </c>
      <c r="P302" s="17">
        <v>8</v>
      </c>
      <c r="Q302" s="17">
        <f t="shared" si="37"/>
        <v>209335555</v>
      </c>
      <c r="R302" s="17">
        <f t="shared" ref="R302:R325" si="42">INT(1000*J302/F302)</f>
        <v>27555</v>
      </c>
      <c r="S302" s="17">
        <f t="shared" ref="S302:S325" si="43">V302+1000*(INT(1000*(2000-L302)/F302))</f>
        <v>80388129</v>
      </c>
      <c r="T302" s="17">
        <f t="shared" ref="T302:T325" si="44">RANK(S302,S$174:S$325)+1000*RANK(R302,R$174:R$325)+1000000*RANK(Q302,Q$174:Q$325)</f>
        <v>113049125</v>
      </c>
      <c r="U302" s="17">
        <f t="shared" ref="U302:U325" si="45">RANK(T302,T$174:T$325,1)</f>
        <v>113</v>
      </c>
      <c r="V302" s="17">
        <f t="shared" si="38"/>
        <v>129</v>
      </c>
      <c r="W302" s="17" t="str">
        <f t="shared" si="39"/>
        <v>BOL Platz 6 Rang 1</v>
      </c>
    </row>
    <row r="303" spans="1:23" x14ac:dyDescent="0.35">
      <c r="A303" s="17"/>
      <c r="B303" s="17"/>
      <c r="C303" s="16"/>
      <c r="D303" s="18">
        <v>7</v>
      </c>
      <c r="E303" s="18" t="s">
        <v>468</v>
      </c>
      <c r="F303" s="18">
        <v>18</v>
      </c>
      <c r="G303" s="18">
        <v>6</v>
      </c>
      <c r="H303" s="18">
        <v>0</v>
      </c>
      <c r="I303" s="18">
        <v>12</v>
      </c>
      <c r="J303" s="18">
        <v>430</v>
      </c>
      <c r="K303" s="18" t="s">
        <v>20</v>
      </c>
      <c r="L303" s="19">
        <v>461</v>
      </c>
      <c r="M303" s="18">
        <v>12</v>
      </c>
      <c r="N303" s="18" t="s">
        <v>20</v>
      </c>
      <c r="O303" s="19">
        <v>24</v>
      </c>
      <c r="P303" s="17">
        <v>8</v>
      </c>
      <c r="Q303" s="17">
        <f t="shared" ref="Q303:Q325" si="46">INT(40000*M303/F303)+100000*(99-D303+1000*(10-P303))</f>
        <v>209226666</v>
      </c>
      <c r="R303" s="17">
        <f t="shared" si="42"/>
        <v>23888</v>
      </c>
      <c r="S303" s="17">
        <f t="shared" si="43"/>
        <v>85500130</v>
      </c>
      <c r="T303" s="17">
        <f t="shared" si="44"/>
        <v>124107071</v>
      </c>
      <c r="U303" s="17">
        <f t="shared" si="45"/>
        <v>124</v>
      </c>
      <c r="V303" s="17">
        <f t="shared" si="38"/>
        <v>130</v>
      </c>
      <c r="W303" s="17" t="str">
        <f t="shared" si="39"/>
        <v>BOL Platz 7 Rang 4</v>
      </c>
    </row>
    <row r="304" spans="1:23" x14ac:dyDescent="0.35">
      <c r="A304" s="17"/>
      <c r="B304" s="17"/>
      <c r="C304" s="16"/>
      <c r="D304" s="18">
        <v>8</v>
      </c>
      <c r="E304" s="18" t="s">
        <v>245</v>
      </c>
      <c r="F304" s="18">
        <v>18</v>
      </c>
      <c r="G304" s="18">
        <v>5</v>
      </c>
      <c r="H304" s="18">
        <v>1</v>
      </c>
      <c r="I304" s="18">
        <v>12</v>
      </c>
      <c r="J304" s="18">
        <v>429</v>
      </c>
      <c r="K304" s="18" t="s">
        <v>20</v>
      </c>
      <c r="L304" s="19">
        <v>442</v>
      </c>
      <c r="M304" s="18">
        <v>11</v>
      </c>
      <c r="N304" s="18" t="s">
        <v>20</v>
      </c>
      <c r="O304" s="19">
        <v>25</v>
      </c>
      <c r="P304" s="17">
        <v>8</v>
      </c>
      <c r="Q304" s="17">
        <f t="shared" si="46"/>
        <v>209124444</v>
      </c>
      <c r="R304" s="17">
        <f t="shared" si="42"/>
        <v>23833</v>
      </c>
      <c r="S304" s="17">
        <f t="shared" si="43"/>
        <v>86555131</v>
      </c>
      <c r="T304" s="17">
        <f t="shared" si="44"/>
        <v>130108058</v>
      </c>
      <c r="U304" s="17">
        <f t="shared" si="45"/>
        <v>131</v>
      </c>
      <c r="V304" s="17">
        <f t="shared" ref="V304:V325" si="47">+V303+1</f>
        <v>131</v>
      </c>
      <c r="W304" s="17" t="str">
        <f t="shared" si="39"/>
        <v>BOL Platz 8 Rang 3</v>
      </c>
    </row>
    <row r="305" spans="1:23" x14ac:dyDescent="0.35">
      <c r="A305" s="17"/>
      <c r="B305" s="17"/>
      <c r="C305" s="16"/>
      <c r="D305" s="18">
        <v>9</v>
      </c>
      <c r="E305" s="18" t="s">
        <v>120</v>
      </c>
      <c r="F305" s="18">
        <v>18</v>
      </c>
      <c r="G305" s="18">
        <v>5</v>
      </c>
      <c r="H305" s="18">
        <v>0</v>
      </c>
      <c r="I305" s="18">
        <v>13</v>
      </c>
      <c r="J305" s="18">
        <v>465</v>
      </c>
      <c r="K305" s="18" t="s">
        <v>20</v>
      </c>
      <c r="L305" s="19">
        <v>505</v>
      </c>
      <c r="M305" s="18">
        <v>10</v>
      </c>
      <c r="N305" s="18" t="s">
        <v>20</v>
      </c>
      <c r="O305" s="19">
        <v>26</v>
      </c>
      <c r="P305" s="17">
        <v>8</v>
      </c>
      <c r="Q305" s="17">
        <f t="shared" si="46"/>
        <v>209022222</v>
      </c>
      <c r="R305" s="17">
        <f t="shared" si="42"/>
        <v>25833</v>
      </c>
      <c r="S305" s="17">
        <f t="shared" si="43"/>
        <v>83055132</v>
      </c>
      <c r="T305" s="17">
        <f t="shared" si="44"/>
        <v>135080099</v>
      </c>
      <c r="U305" s="17">
        <f t="shared" si="45"/>
        <v>135</v>
      </c>
      <c r="V305" s="17">
        <f t="shared" si="47"/>
        <v>132</v>
      </c>
      <c r="W305" s="17" t="str">
        <f t="shared" si="39"/>
        <v>BOL Platz 9 Rang -1</v>
      </c>
    </row>
    <row r="306" spans="1:23" x14ac:dyDescent="0.35">
      <c r="A306" s="17"/>
      <c r="B306" s="17"/>
      <c r="C306" s="16"/>
      <c r="D306" s="18">
        <v>10</v>
      </c>
      <c r="E306" s="18" t="s">
        <v>240</v>
      </c>
      <c r="F306" s="18">
        <v>18</v>
      </c>
      <c r="G306" s="18">
        <v>2</v>
      </c>
      <c r="H306" s="18">
        <v>0</v>
      </c>
      <c r="I306" s="18">
        <v>16</v>
      </c>
      <c r="J306" s="18">
        <v>387</v>
      </c>
      <c r="K306" s="18" t="s">
        <v>20</v>
      </c>
      <c r="L306" s="19">
        <v>519</v>
      </c>
      <c r="M306" s="18">
        <v>4</v>
      </c>
      <c r="N306" s="18" t="s">
        <v>20</v>
      </c>
      <c r="O306" s="19">
        <v>32</v>
      </c>
      <c r="P306" s="17">
        <v>8</v>
      </c>
      <c r="Q306" s="17">
        <f t="shared" si="46"/>
        <v>208908888</v>
      </c>
      <c r="R306" s="17">
        <f t="shared" si="42"/>
        <v>21500</v>
      </c>
      <c r="S306" s="17">
        <f t="shared" si="43"/>
        <v>82277133</v>
      </c>
      <c r="T306" s="17">
        <f t="shared" si="44"/>
        <v>146139111</v>
      </c>
      <c r="U306" s="17">
        <f t="shared" si="45"/>
        <v>146</v>
      </c>
      <c r="V306" s="17">
        <f t="shared" si="47"/>
        <v>133</v>
      </c>
      <c r="W306" s="17" t="str">
        <f t="shared" si="39"/>
        <v>BOL Platz 10 Rang 2</v>
      </c>
    </row>
    <row r="307" spans="1:23" x14ac:dyDescent="0.35">
      <c r="A307" s="17"/>
      <c r="B307" s="17"/>
      <c r="C307" s="14" t="s">
        <v>534</v>
      </c>
      <c r="D307" s="18">
        <v>1</v>
      </c>
      <c r="E307" s="18" t="s">
        <v>132</v>
      </c>
      <c r="F307" s="18">
        <v>16</v>
      </c>
      <c r="G307" s="18">
        <v>15</v>
      </c>
      <c r="H307" s="18">
        <v>0</v>
      </c>
      <c r="I307" s="18">
        <v>1</v>
      </c>
      <c r="J307" s="18">
        <v>501</v>
      </c>
      <c r="K307" s="18" t="s">
        <v>20</v>
      </c>
      <c r="L307" s="19">
        <v>374</v>
      </c>
      <c r="M307" s="18">
        <v>30</v>
      </c>
      <c r="N307" s="18" t="s">
        <v>20</v>
      </c>
      <c r="O307" s="19">
        <v>2</v>
      </c>
      <c r="P307" s="17">
        <v>8</v>
      </c>
      <c r="Q307" s="17">
        <f t="shared" si="46"/>
        <v>209875000</v>
      </c>
      <c r="R307" s="17">
        <f t="shared" si="42"/>
        <v>31312</v>
      </c>
      <c r="S307" s="17">
        <f t="shared" si="43"/>
        <v>101625134</v>
      </c>
      <c r="T307" s="17">
        <f t="shared" si="44"/>
        <v>72008009</v>
      </c>
      <c r="U307" s="17">
        <f t="shared" si="45"/>
        <v>72</v>
      </c>
      <c r="V307" s="17">
        <f t="shared" si="47"/>
        <v>134</v>
      </c>
      <c r="W307" s="17" t="str">
        <f t="shared" si="39"/>
        <v>BOL Platz 1 Rang 0</v>
      </c>
    </row>
    <row r="308" spans="1:23" x14ac:dyDescent="0.35">
      <c r="A308" s="17"/>
      <c r="B308" s="17"/>
      <c r="C308" s="16"/>
      <c r="D308" s="18">
        <v>2</v>
      </c>
      <c r="E308" s="18" t="s">
        <v>250</v>
      </c>
      <c r="F308" s="18">
        <v>16</v>
      </c>
      <c r="G308" s="18">
        <v>11</v>
      </c>
      <c r="H308" s="18">
        <v>1</v>
      </c>
      <c r="I308" s="18">
        <v>4</v>
      </c>
      <c r="J308" s="18">
        <v>415</v>
      </c>
      <c r="K308" s="18" t="s">
        <v>20</v>
      </c>
      <c r="L308" s="19">
        <v>339</v>
      </c>
      <c r="M308" s="18">
        <v>23</v>
      </c>
      <c r="N308" s="18" t="s">
        <v>20</v>
      </c>
      <c r="O308" s="19">
        <v>9</v>
      </c>
      <c r="P308" s="17">
        <v>8</v>
      </c>
      <c r="Q308" s="17">
        <f t="shared" si="46"/>
        <v>209757500</v>
      </c>
      <c r="R308" s="17">
        <f t="shared" si="42"/>
        <v>25937</v>
      </c>
      <c r="S308" s="17">
        <f t="shared" si="43"/>
        <v>103812135</v>
      </c>
      <c r="T308" s="17">
        <f t="shared" si="44"/>
        <v>84078005</v>
      </c>
      <c r="U308" s="17">
        <f t="shared" si="45"/>
        <v>84</v>
      </c>
      <c r="V308" s="17">
        <f t="shared" si="47"/>
        <v>135</v>
      </c>
      <c r="W308" s="17" t="str">
        <f t="shared" si="39"/>
        <v>BOL Platz 2 Rang 4</v>
      </c>
    </row>
    <row r="309" spans="1:23" x14ac:dyDescent="0.35">
      <c r="A309" s="17"/>
      <c r="B309" s="17"/>
      <c r="C309" s="16"/>
      <c r="D309" s="18">
        <v>3</v>
      </c>
      <c r="E309" s="18" t="s">
        <v>469</v>
      </c>
      <c r="F309" s="18">
        <v>16</v>
      </c>
      <c r="G309" s="18">
        <v>10</v>
      </c>
      <c r="H309" s="18">
        <v>0</v>
      </c>
      <c r="I309" s="18">
        <v>6</v>
      </c>
      <c r="J309" s="18">
        <v>441</v>
      </c>
      <c r="K309" s="18" t="s">
        <v>20</v>
      </c>
      <c r="L309" s="19">
        <v>399</v>
      </c>
      <c r="M309" s="18">
        <v>20</v>
      </c>
      <c r="N309" s="18" t="s">
        <v>20</v>
      </c>
      <c r="O309" s="19">
        <v>12</v>
      </c>
      <c r="P309" s="17">
        <v>8</v>
      </c>
      <c r="Q309" s="17">
        <f t="shared" si="46"/>
        <v>209650000</v>
      </c>
      <c r="R309" s="17">
        <f t="shared" si="42"/>
        <v>27562</v>
      </c>
      <c r="S309" s="17">
        <f t="shared" si="43"/>
        <v>100062136</v>
      </c>
      <c r="T309" s="17">
        <f t="shared" si="44"/>
        <v>92048013</v>
      </c>
      <c r="U309" s="17">
        <f t="shared" si="45"/>
        <v>92</v>
      </c>
      <c r="V309" s="17">
        <f t="shared" si="47"/>
        <v>136</v>
      </c>
      <c r="W309" s="17" t="str">
        <f t="shared" si="39"/>
        <v>BOL Platz 3 Rang 4</v>
      </c>
    </row>
    <row r="310" spans="1:23" x14ac:dyDescent="0.35">
      <c r="A310" s="17"/>
      <c r="B310" s="17"/>
      <c r="C310" s="16"/>
      <c r="D310" s="18">
        <v>4</v>
      </c>
      <c r="E310" s="18" t="s">
        <v>195</v>
      </c>
      <c r="F310" s="18">
        <v>16</v>
      </c>
      <c r="G310" s="18">
        <v>9</v>
      </c>
      <c r="H310" s="18">
        <v>0</v>
      </c>
      <c r="I310" s="18">
        <v>7</v>
      </c>
      <c r="J310" s="18">
        <v>401</v>
      </c>
      <c r="K310" s="18" t="s">
        <v>20</v>
      </c>
      <c r="L310" s="19">
        <v>396</v>
      </c>
      <c r="M310" s="18">
        <v>18</v>
      </c>
      <c r="N310" s="18" t="s">
        <v>20</v>
      </c>
      <c r="O310" s="19">
        <v>14</v>
      </c>
      <c r="P310" s="17">
        <v>8</v>
      </c>
      <c r="Q310" s="17">
        <f t="shared" si="46"/>
        <v>209545000</v>
      </c>
      <c r="R310" s="17">
        <f t="shared" si="42"/>
        <v>25062</v>
      </c>
      <c r="S310" s="17">
        <f t="shared" si="43"/>
        <v>100250137</v>
      </c>
      <c r="T310" s="17">
        <f t="shared" si="44"/>
        <v>99093012</v>
      </c>
      <c r="U310" s="17">
        <f t="shared" si="45"/>
        <v>99</v>
      </c>
      <c r="V310" s="17">
        <f t="shared" si="47"/>
        <v>137</v>
      </c>
      <c r="W310" s="17" t="str">
        <f t="shared" si="39"/>
        <v>BOL Platz 4 Rang 3</v>
      </c>
    </row>
    <row r="311" spans="1:23" x14ac:dyDescent="0.35">
      <c r="A311" s="17"/>
      <c r="B311" s="17"/>
      <c r="C311" s="16"/>
      <c r="D311" s="18">
        <v>5</v>
      </c>
      <c r="E311" s="18" t="s">
        <v>255</v>
      </c>
      <c r="F311" s="18">
        <v>16</v>
      </c>
      <c r="G311" s="18">
        <v>8</v>
      </c>
      <c r="H311" s="18">
        <v>1</v>
      </c>
      <c r="I311" s="18">
        <v>7</v>
      </c>
      <c r="J311" s="18">
        <v>367</v>
      </c>
      <c r="K311" s="18" t="s">
        <v>20</v>
      </c>
      <c r="L311" s="19">
        <v>356</v>
      </c>
      <c r="M311" s="18">
        <v>17</v>
      </c>
      <c r="N311" s="18" t="s">
        <v>20</v>
      </c>
      <c r="O311" s="19">
        <v>15</v>
      </c>
      <c r="P311" s="17">
        <v>8</v>
      </c>
      <c r="Q311" s="17">
        <f t="shared" si="46"/>
        <v>209442500</v>
      </c>
      <c r="R311" s="17">
        <f t="shared" si="42"/>
        <v>22937</v>
      </c>
      <c r="S311" s="17">
        <f t="shared" si="43"/>
        <v>102750138</v>
      </c>
      <c r="T311" s="17">
        <f t="shared" si="44"/>
        <v>104124007</v>
      </c>
      <c r="U311" s="17">
        <f t="shared" si="45"/>
        <v>104</v>
      </c>
      <c r="V311" s="17">
        <f t="shared" si="47"/>
        <v>138</v>
      </c>
      <c r="W311" s="17" t="str">
        <f t="shared" ref="W311:W325" si="48">"BOL Platz "&amp;D311&amp;" Rang "&amp;(U311-64-8*D311)</f>
        <v>BOL Platz 5 Rang 0</v>
      </c>
    </row>
    <row r="312" spans="1:23" x14ac:dyDescent="0.35">
      <c r="A312" s="17"/>
      <c r="B312" s="17"/>
      <c r="C312" s="16"/>
      <c r="D312" s="18">
        <v>6</v>
      </c>
      <c r="E312" s="18" t="s">
        <v>251</v>
      </c>
      <c r="F312" s="18">
        <v>16</v>
      </c>
      <c r="G312" s="18">
        <v>7</v>
      </c>
      <c r="H312" s="18">
        <v>1</v>
      </c>
      <c r="I312" s="18">
        <v>8</v>
      </c>
      <c r="J312" s="18">
        <v>420</v>
      </c>
      <c r="K312" s="18" t="s">
        <v>20</v>
      </c>
      <c r="L312" s="19">
        <v>449</v>
      </c>
      <c r="M312" s="18">
        <v>15</v>
      </c>
      <c r="N312" s="18" t="s">
        <v>20</v>
      </c>
      <c r="O312" s="19">
        <v>17</v>
      </c>
      <c r="P312" s="17">
        <v>8</v>
      </c>
      <c r="Q312" s="17">
        <f t="shared" si="46"/>
        <v>209337500</v>
      </c>
      <c r="R312" s="17">
        <f t="shared" si="42"/>
        <v>26250</v>
      </c>
      <c r="S312" s="17">
        <f t="shared" si="43"/>
        <v>96937139</v>
      </c>
      <c r="T312" s="17">
        <f t="shared" si="44"/>
        <v>112069023</v>
      </c>
      <c r="U312" s="17">
        <f t="shared" si="45"/>
        <v>112</v>
      </c>
      <c r="V312" s="17">
        <f t="shared" si="47"/>
        <v>139</v>
      </c>
      <c r="W312" s="17" t="str">
        <f t="shared" si="48"/>
        <v>BOL Platz 6 Rang 0</v>
      </c>
    </row>
    <row r="313" spans="1:23" x14ac:dyDescent="0.35">
      <c r="A313" s="17"/>
      <c r="B313" s="17"/>
      <c r="C313" s="16"/>
      <c r="D313" s="18">
        <v>7</v>
      </c>
      <c r="E313" s="18" t="s">
        <v>248</v>
      </c>
      <c r="F313" s="18">
        <v>16</v>
      </c>
      <c r="G313" s="18">
        <v>6</v>
      </c>
      <c r="H313" s="18">
        <v>0</v>
      </c>
      <c r="I313" s="18">
        <v>10</v>
      </c>
      <c r="J313" s="18">
        <v>390</v>
      </c>
      <c r="K313" s="18" t="s">
        <v>20</v>
      </c>
      <c r="L313" s="19">
        <v>411</v>
      </c>
      <c r="M313" s="18">
        <v>12</v>
      </c>
      <c r="N313" s="18" t="s">
        <v>20</v>
      </c>
      <c r="O313" s="19">
        <v>20</v>
      </c>
      <c r="P313" s="17">
        <v>8</v>
      </c>
      <c r="Q313" s="17">
        <f t="shared" si="46"/>
        <v>209230000</v>
      </c>
      <c r="R313" s="17">
        <f t="shared" si="42"/>
        <v>24375</v>
      </c>
      <c r="S313" s="17">
        <f t="shared" si="43"/>
        <v>99312140</v>
      </c>
      <c r="T313" s="17">
        <f t="shared" si="44"/>
        <v>121100016</v>
      </c>
      <c r="U313" s="17">
        <f t="shared" si="45"/>
        <v>121</v>
      </c>
      <c r="V313" s="17">
        <f t="shared" si="47"/>
        <v>140</v>
      </c>
      <c r="W313" s="17" t="str">
        <f t="shared" si="48"/>
        <v>BOL Platz 7 Rang 1</v>
      </c>
    </row>
    <row r="314" spans="1:23" x14ac:dyDescent="0.35">
      <c r="A314" s="17"/>
      <c r="B314" s="17"/>
      <c r="C314" s="16"/>
      <c r="D314" s="18">
        <v>8</v>
      </c>
      <c r="E314" s="18" t="s">
        <v>249</v>
      </c>
      <c r="F314" s="18">
        <v>16</v>
      </c>
      <c r="G314" s="18">
        <v>2</v>
      </c>
      <c r="H314" s="18">
        <v>1</v>
      </c>
      <c r="I314" s="18">
        <v>13</v>
      </c>
      <c r="J314" s="18">
        <v>392</v>
      </c>
      <c r="K314" s="18" t="s">
        <v>20</v>
      </c>
      <c r="L314" s="19">
        <v>480</v>
      </c>
      <c r="M314" s="18">
        <v>5</v>
      </c>
      <c r="N314" s="18" t="s">
        <v>20</v>
      </c>
      <c r="O314" s="19">
        <v>27</v>
      </c>
      <c r="P314" s="17">
        <v>8</v>
      </c>
      <c r="Q314" s="17">
        <f t="shared" si="46"/>
        <v>209112500</v>
      </c>
      <c r="R314" s="17">
        <f t="shared" si="42"/>
        <v>24500</v>
      </c>
      <c r="S314" s="17">
        <f t="shared" si="43"/>
        <v>95000141</v>
      </c>
      <c r="T314" s="17">
        <f t="shared" si="44"/>
        <v>133097025</v>
      </c>
      <c r="U314" s="17">
        <f t="shared" si="45"/>
        <v>133</v>
      </c>
      <c r="V314" s="17">
        <f t="shared" si="47"/>
        <v>141</v>
      </c>
      <c r="W314" s="17" t="str">
        <f t="shared" si="48"/>
        <v>BOL Platz 8 Rang 5</v>
      </c>
    </row>
    <row r="315" spans="1:23" x14ac:dyDescent="0.35">
      <c r="A315" s="17"/>
      <c r="B315" s="17"/>
      <c r="C315" s="16"/>
      <c r="D315" s="18">
        <v>9</v>
      </c>
      <c r="E315" s="18" t="s">
        <v>470</v>
      </c>
      <c r="F315" s="18">
        <v>16</v>
      </c>
      <c r="G315" s="18">
        <v>2</v>
      </c>
      <c r="H315" s="18">
        <v>0</v>
      </c>
      <c r="I315" s="18">
        <v>14</v>
      </c>
      <c r="J315" s="18">
        <v>374</v>
      </c>
      <c r="K315" s="18" t="s">
        <v>20</v>
      </c>
      <c r="L315" s="19">
        <v>497</v>
      </c>
      <c r="M315" s="18">
        <v>4</v>
      </c>
      <c r="N315" s="18" t="s">
        <v>20</v>
      </c>
      <c r="O315" s="19">
        <v>28</v>
      </c>
      <c r="P315" s="17">
        <v>8</v>
      </c>
      <c r="Q315" s="17">
        <f t="shared" si="46"/>
        <v>209010000</v>
      </c>
      <c r="R315" s="17">
        <f t="shared" si="42"/>
        <v>23375</v>
      </c>
      <c r="S315" s="17">
        <f t="shared" si="43"/>
        <v>93937142</v>
      </c>
      <c r="T315" s="17">
        <f t="shared" si="44"/>
        <v>140115029</v>
      </c>
      <c r="U315" s="17">
        <f t="shared" si="45"/>
        <v>140</v>
      </c>
      <c r="V315" s="17">
        <f t="shared" si="47"/>
        <v>142</v>
      </c>
      <c r="W315" s="17" t="str">
        <f t="shared" si="48"/>
        <v>BOL Platz 9 Rang 4</v>
      </c>
    </row>
    <row r="316" spans="1:23" x14ac:dyDescent="0.35">
      <c r="A316" s="17"/>
      <c r="B316" s="17"/>
      <c r="C316" s="14" t="s">
        <v>535</v>
      </c>
      <c r="D316" s="18">
        <v>1</v>
      </c>
      <c r="E316" s="18" t="s">
        <v>196</v>
      </c>
      <c r="F316" s="18">
        <v>18</v>
      </c>
      <c r="G316" s="18">
        <v>15</v>
      </c>
      <c r="H316" s="18">
        <v>0</v>
      </c>
      <c r="I316" s="18">
        <v>3</v>
      </c>
      <c r="J316" s="18">
        <v>504</v>
      </c>
      <c r="K316" s="18" t="s">
        <v>20</v>
      </c>
      <c r="L316" s="19">
        <v>409</v>
      </c>
      <c r="M316" s="18">
        <v>30</v>
      </c>
      <c r="N316" s="18" t="s">
        <v>20</v>
      </c>
      <c r="O316" s="19">
        <v>6</v>
      </c>
      <c r="P316" s="17">
        <v>8</v>
      </c>
      <c r="Q316" s="17">
        <f t="shared" si="46"/>
        <v>209866666</v>
      </c>
      <c r="R316" s="17">
        <f t="shared" si="42"/>
        <v>28000</v>
      </c>
      <c r="S316" s="17">
        <f t="shared" si="43"/>
        <v>88388143</v>
      </c>
      <c r="T316" s="17">
        <f t="shared" si="44"/>
        <v>77037040</v>
      </c>
      <c r="U316" s="17">
        <f t="shared" si="45"/>
        <v>77</v>
      </c>
      <c r="V316" s="17">
        <f t="shared" si="47"/>
        <v>143</v>
      </c>
      <c r="W316" s="17" t="str">
        <f t="shared" si="48"/>
        <v>BOL Platz 1 Rang 5</v>
      </c>
    </row>
    <row r="317" spans="1:23" x14ac:dyDescent="0.35">
      <c r="A317" s="17"/>
      <c r="B317" s="17"/>
      <c r="C317" s="16"/>
      <c r="D317" s="18">
        <v>2</v>
      </c>
      <c r="E317" s="18" t="s">
        <v>471</v>
      </c>
      <c r="F317" s="18">
        <v>18</v>
      </c>
      <c r="G317" s="18">
        <v>14</v>
      </c>
      <c r="H317" s="18">
        <v>1</v>
      </c>
      <c r="I317" s="18">
        <v>3</v>
      </c>
      <c r="J317" s="18">
        <v>567</v>
      </c>
      <c r="K317" s="18" t="s">
        <v>20</v>
      </c>
      <c r="L317" s="19">
        <v>495</v>
      </c>
      <c r="M317" s="18">
        <v>29</v>
      </c>
      <c r="N317" s="18" t="s">
        <v>20</v>
      </c>
      <c r="O317" s="19">
        <v>7</v>
      </c>
      <c r="P317" s="17">
        <v>8</v>
      </c>
      <c r="Q317" s="17">
        <f t="shared" si="46"/>
        <v>209764444</v>
      </c>
      <c r="R317" s="17">
        <f t="shared" si="42"/>
        <v>31500</v>
      </c>
      <c r="S317" s="17">
        <f t="shared" si="43"/>
        <v>83611144</v>
      </c>
      <c r="T317" s="17">
        <f t="shared" si="44"/>
        <v>80005094</v>
      </c>
      <c r="U317" s="17">
        <f t="shared" si="45"/>
        <v>80</v>
      </c>
      <c r="V317" s="17">
        <f t="shared" si="47"/>
        <v>144</v>
      </c>
      <c r="W317" s="17" t="str">
        <f t="shared" si="48"/>
        <v>BOL Platz 2 Rang 0</v>
      </c>
    </row>
    <row r="318" spans="1:23" x14ac:dyDescent="0.35">
      <c r="A318" s="17"/>
      <c r="B318" s="17"/>
      <c r="C318" s="16"/>
      <c r="D318" s="18">
        <v>3</v>
      </c>
      <c r="E318" s="18" t="s">
        <v>259</v>
      </c>
      <c r="F318" s="18">
        <v>18</v>
      </c>
      <c r="G318" s="18">
        <v>13</v>
      </c>
      <c r="H318" s="18">
        <v>0</v>
      </c>
      <c r="I318" s="18">
        <v>5</v>
      </c>
      <c r="J318" s="18">
        <v>538</v>
      </c>
      <c r="K318" s="18" t="s">
        <v>20</v>
      </c>
      <c r="L318" s="19">
        <v>483</v>
      </c>
      <c r="M318" s="18">
        <v>26</v>
      </c>
      <c r="N318" s="18" t="s">
        <v>20</v>
      </c>
      <c r="O318" s="19">
        <v>10</v>
      </c>
      <c r="P318" s="17">
        <v>8</v>
      </c>
      <c r="Q318" s="17">
        <f t="shared" si="46"/>
        <v>209657777</v>
      </c>
      <c r="R318" s="17">
        <f t="shared" si="42"/>
        <v>29888</v>
      </c>
      <c r="S318" s="17">
        <f t="shared" si="43"/>
        <v>84277145</v>
      </c>
      <c r="T318" s="17">
        <f t="shared" si="44"/>
        <v>90015082</v>
      </c>
      <c r="U318" s="17">
        <f t="shared" si="45"/>
        <v>90</v>
      </c>
      <c r="V318" s="17">
        <f t="shared" si="47"/>
        <v>145</v>
      </c>
      <c r="W318" s="17" t="str">
        <f t="shared" si="48"/>
        <v>BOL Platz 3 Rang 2</v>
      </c>
    </row>
    <row r="319" spans="1:23" x14ac:dyDescent="0.35">
      <c r="A319" s="17"/>
      <c r="B319" s="17"/>
      <c r="C319" s="16"/>
      <c r="D319" s="18">
        <v>4</v>
      </c>
      <c r="E319" s="18" t="s">
        <v>473</v>
      </c>
      <c r="F319" s="18">
        <v>18</v>
      </c>
      <c r="G319" s="18">
        <v>9</v>
      </c>
      <c r="H319" s="18">
        <v>1</v>
      </c>
      <c r="I319" s="18">
        <v>8</v>
      </c>
      <c r="J319" s="18">
        <v>436</v>
      </c>
      <c r="K319" s="18" t="s">
        <v>20</v>
      </c>
      <c r="L319" s="19">
        <v>442</v>
      </c>
      <c r="M319" s="18">
        <v>19</v>
      </c>
      <c r="N319" s="18" t="s">
        <v>20</v>
      </c>
      <c r="O319" s="19">
        <v>17</v>
      </c>
      <c r="P319" s="17">
        <v>8</v>
      </c>
      <c r="Q319" s="17">
        <f t="shared" si="46"/>
        <v>209542222</v>
      </c>
      <c r="R319" s="17">
        <f t="shared" si="42"/>
        <v>24222</v>
      </c>
      <c r="S319" s="17">
        <f t="shared" si="43"/>
        <v>86555146</v>
      </c>
      <c r="T319" s="17">
        <f t="shared" si="44"/>
        <v>101101057</v>
      </c>
      <c r="U319" s="17">
        <f t="shared" si="45"/>
        <v>101</v>
      </c>
      <c r="V319" s="17">
        <f t="shared" si="47"/>
        <v>146</v>
      </c>
      <c r="W319" s="17" t="str">
        <f t="shared" si="48"/>
        <v>BOL Platz 4 Rang 5</v>
      </c>
    </row>
    <row r="320" spans="1:23" x14ac:dyDescent="0.35">
      <c r="A320" s="17"/>
      <c r="B320" s="17"/>
      <c r="C320" s="16"/>
      <c r="D320" s="18">
        <v>5</v>
      </c>
      <c r="E320" s="18" t="s">
        <v>472</v>
      </c>
      <c r="F320" s="18">
        <v>18</v>
      </c>
      <c r="G320" s="18">
        <v>9</v>
      </c>
      <c r="H320" s="18">
        <v>1</v>
      </c>
      <c r="I320" s="18">
        <v>8</v>
      </c>
      <c r="J320" s="18">
        <v>427</v>
      </c>
      <c r="K320" s="18" t="s">
        <v>20</v>
      </c>
      <c r="L320" s="19">
        <v>419</v>
      </c>
      <c r="M320" s="18">
        <v>19</v>
      </c>
      <c r="N320" s="18" t="s">
        <v>20</v>
      </c>
      <c r="O320" s="19">
        <v>17</v>
      </c>
      <c r="P320" s="17">
        <v>8</v>
      </c>
      <c r="Q320" s="17">
        <f t="shared" si="46"/>
        <v>209442222</v>
      </c>
      <c r="R320" s="17">
        <f t="shared" si="42"/>
        <v>23722</v>
      </c>
      <c r="S320" s="17">
        <f t="shared" si="43"/>
        <v>87833147</v>
      </c>
      <c r="T320" s="17">
        <f t="shared" si="44"/>
        <v>105110047</v>
      </c>
      <c r="U320" s="17">
        <f t="shared" si="45"/>
        <v>105</v>
      </c>
      <c r="V320" s="17">
        <f t="shared" si="47"/>
        <v>147</v>
      </c>
      <c r="W320" s="17" t="str">
        <f t="shared" si="48"/>
        <v>BOL Platz 5 Rang 1</v>
      </c>
    </row>
    <row r="321" spans="1:23" x14ac:dyDescent="0.35">
      <c r="A321" s="17"/>
      <c r="B321" s="17"/>
      <c r="C321" s="16"/>
      <c r="D321" s="18">
        <v>6</v>
      </c>
      <c r="E321" s="18" t="s">
        <v>476</v>
      </c>
      <c r="F321" s="18">
        <v>18</v>
      </c>
      <c r="G321" s="18">
        <v>8</v>
      </c>
      <c r="H321" s="18">
        <v>1</v>
      </c>
      <c r="I321" s="18">
        <v>9</v>
      </c>
      <c r="J321" s="18">
        <v>480</v>
      </c>
      <c r="K321" s="18" t="s">
        <v>20</v>
      </c>
      <c r="L321" s="19">
        <v>499</v>
      </c>
      <c r="M321" s="18">
        <v>17</v>
      </c>
      <c r="N321" s="18" t="s">
        <v>20</v>
      </c>
      <c r="O321" s="19">
        <v>19</v>
      </c>
      <c r="P321" s="17">
        <v>8</v>
      </c>
      <c r="Q321" s="17">
        <f t="shared" si="46"/>
        <v>209337777</v>
      </c>
      <c r="R321" s="17">
        <f t="shared" si="42"/>
        <v>26666</v>
      </c>
      <c r="S321" s="17">
        <f t="shared" si="43"/>
        <v>83388148</v>
      </c>
      <c r="T321" s="17">
        <f t="shared" si="44"/>
        <v>111062096</v>
      </c>
      <c r="U321" s="17">
        <f t="shared" si="45"/>
        <v>111</v>
      </c>
      <c r="V321" s="17">
        <f t="shared" si="47"/>
        <v>148</v>
      </c>
      <c r="W321" s="17" t="str">
        <f t="shared" si="48"/>
        <v>BOL Platz 6 Rang -1</v>
      </c>
    </row>
    <row r="322" spans="1:23" x14ac:dyDescent="0.35">
      <c r="A322" s="17"/>
      <c r="B322" s="17"/>
      <c r="C322" s="16"/>
      <c r="D322" s="18">
        <v>7</v>
      </c>
      <c r="E322" s="18" t="s">
        <v>475</v>
      </c>
      <c r="F322" s="18">
        <v>18</v>
      </c>
      <c r="G322" s="18">
        <v>6</v>
      </c>
      <c r="H322" s="18">
        <v>1</v>
      </c>
      <c r="I322" s="18">
        <v>11</v>
      </c>
      <c r="J322" s="18">
        <v>453</v>
      </c>
      <c r="K322" s="18" t="s">
        <v>20</v>
      </c>
      <c r="L322" s="19">
        <v>489</v>
      </c>
      <c r="M322" s="18">
        <v>13</v>
      </c>
      <c r="N322" s="18" t="s">
        <v>20</v>
      </c>
      <c r="O322" s="19">
        <v>23</v>
      </c>
      <c r="P322" s="17">
        <v>8</v>
      </c>
      <c r="Q322" s="17">
        <f t="shared" si="46"/>
        <v>209228888</v>
      </c>
      <c r="R322" s="17">
        <f t="shared" si="42"/>
        <v>25166</v>
      </c>
      <c r="S322" s="17">
        <f t="shared" si="43"/>
        <v>83944149</v>
      </c>
      <c r="T322" s="17">
        <f t="shared" si="44"/>
        <v>122091091</v>
      </c>
      <c r="U322" s="17">
        <f t="shared" si="45"/>
        <v>122</v>
      </c>
      <c r="V322" s="17">
        <f t="shared" si="47"/>
        <v>149</v>
      </c>
      <c r="W322" s="17" t="str">
        <f t="shared" si="48"/>
        <v>BOL Platz 7 Rang 2</v>
      </c>
    </row>
    <row r="323" spans="1:23" x14ac:dyDescent="0.35">
      <c r="A323" s="17"/>
      <c r="B323" s="17"/>
      <c r="C323" s="16"/>
      <c r="D323" s="18">
        <v>8</v>
      </c>
      <c r="E323" s="18" t="s">
        <v>474</v>
      </c>
      <c r="F323" s="18">
        <v>18</v>
      </c>
      <c r="G323" s="18">
        <v>6</v>
      </c>
      <c r="H323" s="18">
        <v>0</v>
      </c>
      <c r="I323" s="18">
        <v>12</v>
      </c>
      <c r="J323" s="18">
        <v>455</v>
      </c>
      <c r="K323" s="18" t="s">
        <v>20</v>
      </c>
      <c r="L323" s="19">
        <v>477</v>
      </c>
      <c r="M323" s="18">
        <v>12</v>
      </c>
      <c r="N323" s="18" t="s">
        <v>20</v>
      </c>
      <c r="O323" s="19">
        <v>24</v>
      </c>
      <c r="P323" s="17">
        <v>8</v>
      </c>
      <c r="Q323" s="17">
        <f t="shared" si="46"/>
        <v>209126666</v>
      </c>
      <c r="R323" s="17">
        <f t="shared" si="42"/>
        <v>25277</v>
      </c>
      <c r="S323" s="17">
        <f t="shared" si="43"/>
        <v>84611150</v>
      </c>
      <c r="T323" s="17">
        <f t="shared" si="44"/>
        <v>129089080</v>
      </c>
      <c r="U323" s="17">
        <f t="shared" si="45"/>
        <v>129</v>
      </c>
      <c r="V323" s="17">
        <f t="shared" si="47"/>
        <v>150</v>
      </c>
      <c r="W323" s="17" t="str">
        <f t="shared" si="48"/>
        <v>BOL Platz 8 Rang 1</v>
      </c>
    </row>
    <row r="324" spans="1:23" x14ac:dyDescent="0.35">
      <c r="A324" s="17"/>
      <c r="B324" s="17"/>
      <c r="C324" s="16"/>
      <c r="D324" s="18">
        <v>9</v>
      </c>
      <c r="E324" s="18" t="s">
        <v>477</v>
      </c>
      <c r="F324" s="18">
        <v>18</v>
      </c>
      <c r="G324" s="18">
        <v>4</v>
      </c>
      <c r="H324" s="18">
        <v>1</v>
      </c>
      <c r="I324" s="18">
        <v>13</v>
      </c>
      <c r="J324" s="18">
        <v>386</v>
      </c>
      <c r="K324" s="18" t="s">
        <v>20</v>
      </c>
      <c r="L324" s="19">
        <v>464</v>
      </c>
      <c r="M324" s="18">
        <v>9</v>
      </c>
      <c r="N324" s="18" t="s">
        <v>20</v>
      </c>
      <c r="O324" s="19">
        <v>27</v>
      </c>
      <c r="P324" s="17">
        <v>8</v>
      </c>
      <c r="Q324" s="17">
        <f t="shared" si="46"/>
        <v>209020000</v>
      </c>
      <c r="R324" s="17">
        <f t="shared" si="42"/>
        <v>21444</v>
      </c>
      <c r="S324" s="17">
        <f t="shared" si="43"/>
        <v>85333151</v>
      </c>
      <c r="T324" s="17">
        <f t="shared" si="44"/>
        <v>138140075</v>
      </c>
      <c r="U324" s="17">
        <f t="shared" si="45"/>
        <v>138</v>
      </c>
      <c r="V324" s="17">
        <f t="shared" si="47"/>
        <v>151</v>
      </c>
      <c r="W324" s="17" t="str">
        <f t="shared" si="48"/>
        <v>BOL Platz 9 Rang 2</v>
      </c>
    </row>
    <row r="325" spans="1:23" x14ac:dyDescent="0.35">
      <c r="A325" s="17"/>
      <c r="B325" s="17"/>
      <c r="C325" s="16"/>
      <c r="D325" s="18">
        <v>10</v>
      </c>
      <c r="E325" s="18" t="s">
        <v>256</v>
      </c>
      <c r="F325" s="18">
        <v>18</v>
      </c>
      <c r="G325" s="18">
        <v>3</v>
      </c>
      <c r="H325" s="18">
        <v>0</v>
      </c>
      <c r="I325" s="18">
        <v>15</v>
      </c>
      <c r="J325" s="18">
        <v>383</v>
      </c>
      <c r="K325" s="18" t="s">
        <v>20</v>
      </c>
      <c r="L325" s="19">
        <v>452</v>
      </c>
      <c r="M325" s="18">
        <v>6</v>
      </c>
      <c r="N325" s="18" t="s">
        <v>20</v>
      </c>
      <c r="O325" s="19">
        <v>30</v>
      </c>
      <c r="P325" s="17">
        <v>8</v>
      </c>
      <c r="Q325" s="17">
        <f t="shared" si="46"/>
        <v>208913333</v>
      </c>
      <c r="R325" s="17">
        <f t="shared" si="42"/>
        <v>21277</v>
      </c>
      <c r="S325" s="17">
        <f t="shared" si="43"/>
        <v>86000152</v>
      </c>
      <c r="T325" s="17">
        <f t="shared" si="44"/>
        <v>144143068</v>
      </c>
      <c r="U325" s="17">
        <f t="shared" si="45"/>
        <v>144</v>
      </c>
      <c r="V325" s="17">
        <f t="shared" si="47"/>
        <v>152</v>
      </c>
      <c r="W325" s="17" t="str">
        <f t="shared" si="48"/>
        <v>BOL Platz 10 Rang 0</v>
      </c>
    </row>
    <row r="326" spans="1:23" x14ac:dyDescent="0.35">
      <c r="A326" s="17"/>
      <c r="B326" s="17"/>
      <c r="C326" s="16"/>
      <c r="D326" s="17"/>
      <c r="E326" s="17"/>
      <c r="F326" s="17"/>
      <c r="G326" s="17"/>
      <c r="H326" s="17"/>
      <c r="I326" s="17"/>
      <c r="J326" s="17"/>
      <c r="K326" s="17"/>
      <c r="L326" s="20"/>
      <c r="M326" s="17"/>
      <c r="N326" s="17"/>
      <c r="O326" s="20"/>
      <c r="P326" s="17"/>
      <c r="Q326" s="17"/>
      <c r="R326" s="17"/>
      <c r="S326" s="17"/>
      <c r="T326" s="17"/>
      <c r="U326" s="17"/>
      <c r="V326" s="17"/>
      <c r="W326" s="17"/>
    </row>
    <row r="327" spans="1:23" x14ac:dyDescent="0.35">
      <c r="A327" s="17"/>
      <c r="B327" s="17"/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</row>
    <row r="328" spans="1:23" x14ac:dyDescent="0.35">
      <c r="A328" s="17"/>
      <c r="B328" s="17"/>
      <c r="C328" s="16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</row>
    <row r="329" spans="1:23" x14ac:dyDescent="0.35">
      <c r="A329" s="17"/>
      <c r="B329" s="17"/>
      <c r="C329" s="16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</row>
    <row r="330" spans="1:23" x14ac:dyDescent="0.35">
      <c r="A330" s="17"/>
      <c r="B330" s="17"/>
      <c r="C330" s="16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</row>
    <row r="331" spans="1:23" x14ac:dyDescent="0.35">
      <c r="A331" s="17"/>
      <c r="B331" s="17"/>
      <c r="C331" s="16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</row>
    <row r="332" spans="1:23" x14ac:dyDescent="0.35">
      <c r="A332" s="17"/>
      <c r="B332" s="17"/>
      <c r="C332" s="16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</row>
    <row r="333" spans="1:23" x14ac:dyDescent="0.35">
      <c r="A333" s="17"/>
      <c r="B333" s="17"/>
      <c r="C333" s="16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</row>
    <row r="334" spans="1:23" x14ac:dyDescent="0.35">
      <c r="A334" s="17"/>
      <c r="B334" s="17"/>
      <c r="C334" s="16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</row>
    <row r="335" spans="1:23" x14ac:dyDescent="0.35">
      <c r="A335" s="17"/>
      <c r="B335" s="17"/>
      <c r="C335" s="16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</row>
    <row r="336" spans="1:23" x14ac:dyDescent="0.35">
      <c r="A336" s="17"/>
      <c r="B336" s="17"/>
      <c r="C336" s="16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</row>
    <row r="337" spans="1:23" x14ac:dyDescent="0.35">
      <c r="A337" s="17"/>
      <c r="B337" s="17"/>
      <c r="C337" s="16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</row>
    <row r="338" spans="1:23" x14ac:dyDescent="0.35">
      <c r="A338" s="17"/>
      <c r="B338" s="17"/>
      <c r="C338" s="16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</row>
    <row r="339" spans="1:23" x14ac:dyDescent="0.35">
      <c r="A339" s="17"/>
      <c r="B339" s="17"/>
      <c r="C339" s="16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</row>
    <row r="340" spans="1:23" x14ac:dyDescent="0.35">
      <c r="A340" s="17"/>
      <c r="B340" s="17"/>
      <c r="C340" s="16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</row>
    <row r="341" spans="1:23" x14ac:dyDescent="0.35">
      <c r="A341" s="17"/>
      <c r="B341" s="17"/>
      <c r="C341" s="16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</row>
    <row r="342" spans="1:23" x14ac:dyDescent="0.35">
      <c r="A342" s="17"/>
      <c r="B342" s="17"/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</row>
    <row r="343" spans="1:23" x14ac:dyDescent="0.35">
      <c r="A343" s="17"/>
      <c r="B343" s="17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</row>
    <row r="344" spans="1:23" x14ac:dyDescent="0.35">
      <c r="A344" s="17"/>
      <c r="B344" s="17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</row>
    <row r="345" spans="1:23" x14ac:dyDescent="0.35">
      <c r="A345" s="17"/>
      <c r="B345" s="17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</row>
    <row r="346" spans="1:23" x14ac:dyDescent="0.35">
      <c r="A346" s="17"/>
      <c r="B346" s="17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</row>
    <row r="347" spans="1:23" x14ac:dyDescent="0.35">
      <c r="A347" s="17"/>
      <c r="B347" s="17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1:23" x14ac:dyDescent="0.35">
      <c r="A348" s="17"/>
      <c r="B348" s="17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1:23" x14ac:dyDescent="0.3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1:23" x14ac:dyDescent="0.3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1:23" x14ac:dyDescent="0.3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1:23" x14ac:dyDescent="0.3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1:23" x14ac:dyDescent="0.3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</row>
    <row r="354" spans="1:23" x14ac:dyDescent="0.3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</row>
    <row r="355" spans="1:23" x14ac:dyDescent="0.3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</row>
    <row r="356" spans="1:23" x14ac:dyDescent="0.3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</row>
    <row r="357" spans="1:23" x14ac:dyDescent="0.3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</row>
    <row r="358" spans="1:23" x14ac:dyDescent="0.3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</row>
    <row r="359" spans="1:23" x14ac:dyDescent="0.3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</row>
    <row r="360" spans="1:23" x14ac:dyDescent="0.3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</row>
    <row r="361" spans="1:23" x14ac:dyDescent="0.3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</row>
    <row r="362" spans="1:23" x14ac:dyDescent="0.3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</row>
    <row r="363" spans="1:23" x14ac:dyDescent="0.3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</row>
    <row r="364" spans="1:23" x14ac:dyDescent="0.3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</row>
    <row r="365" spans="1:23" x14ac:dyDescent="0.3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</row>
    <row r="366" spans="1:23" x14ac:dyDescent="0.3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</row>
    <row r="367" spans="1:23" x14ac:dyDescent="0.3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</row>
    <row r="368" spans="1:23" x14ac:dyDescent="0.3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</row>
    <row r="369" spans="1:23" x14ac:dyDescent="0.3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</row>
    <row r="370" spans="1:23" x14ac:dyDescent="0.3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</row>
    <row r="371" spans="1:23" x14ac:dyDescent="0.3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</row>
    <row r="372" spans="1:23" x14ac:dyDescent="0.3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</row>
    <row r="373" spans="1:23" x14ac:dyDescent="0.3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</row>
    <row r="374" spans="1:23" x14ac:dyDescent="0.3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</row>
    <row r="375" spans="1:23" x14ac:dyDescent="0.3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</row>
    <row r="376" spans="1:23" x14ac:dyDescent="0.3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</row>
    <row r="377" spans="1:23" x14ac:dyDescent="0.3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9AA1-60BD-4C6C-9415-902EA26B5DF4}">
  <dimension ref="A1:W107"/>
  <sheetViews>
    <sheetView topLeftCell="A77" workbookViewId="0">
      <selection activeCell="E78" sqref="E78"/>
    </sheetView>
  </sheetViews>
  <sheetFormatPr baseColWidth="10" defaultRowHeight="14.5" x14ac:dyDescent="0.35"/>
  <cols>
    <col min="1" max="1" width="3.6328125" customWidth="1"/>
    <col min="2" max="2" width="11.54296875" bestFit="1" customWidth="1"/>
    <col min="4" max="4" width="2.6328125" customWidth="1"/>
    <col min="5" max="5" width="32.7265625" bestFit="1" customWidth="1"/>
    <col min="6" max="9" width="4.6328125" customWidth="1"/>
    <col min="11" max="11" width="1.36328125" bestFit="1" customWidth="1"/>
    <col min="12" max="13" width="4.6328125" customWidth="1"/>
    <col min="14" max="14" width="1.36328125" bestFit="1" customWidth="1"/>
    <col min="15" max="15" width="3.6328125" customWidth="1"/>
    <col min="16" max="16" width="4.6328125" customWidth="1"/>
    <col min="17" max="17" width="10.54296875" customWidth="1"/>
    <col min="18" max="18" width="11.81640625" bestFit="1" customWidth="1"/>
    <col min="19" max="19" width="9.81640625" customWidth="1"/>
    <col min="21" max="21" width="7.08984375" bestFit="1" customWidth="1"/>
    <col min="22" max="22" width="3.81640625" bestFit="1" customWidth="1"/>
    <col min="23" max="23" width="16.7265625" bestFit="1" customWidth="1"/>
  </cols>
  <sheetData>
    <row r="1" spans="1:23" x14ac:dyDescent="0.3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5" t="s">
        <v>198</v>
      </c>
      <c r="Q2" s="15" t="s">
        <v>199</v>
      </c>
      <c r="R2" s="15" t="s">
        <v>563</v>
      </c>
      <c r="S2" s="15" t="s">
        <v>201</v>
      </c>
      <c r="T2" s="15" t="s">
        <v>505</v>
      </c>
      <c r="U2" s="15" t="s">
        <v>203</v>
      </c>
      <c r="V2" s="15" t="s">
        <v>200</v>
      </c>
      <c r="W2" s="15" t="s">
        <v>521</v>
      </c>
    </row>
    <row r="3" spans="1:23" x14ac:dyDescent="0.35">
      <c r="A3" s="17"/>
      <c r="B3" s="16" t="s">
        <v>433</v>
      </c>
      <c r="C3" s="16" t="s">
        <v>506</v>
      </c>
      <c r="D3" s="18">
        <v>1</v>
      </c>
      <c r="E3" s="18" t="s">
        <v>277</v>
      </c>
      <c r="F3" s="18">
        <v>26</v>
      </c>
      <c r="G3" s="18">
        <v>22</v>
      </c>
      <c r="H3" s="18">
        <v>1</v>
      </c>
      <c r="I3" s="18">
        <v>3</v>
      </c>
      <c r="J3" s="18">
        <v>791</v>
      </c>
      <c r="K3" s="18" t="s">
        <v>20</v>
      </c>
      <c r="L3" s="19">
        <v>635</v>
      </c>
      <c r="M3" s="18">
        <v>45</v>
      </c>
      <c r="N3" s="18" t="s">
        <v>20</v>
      </c>
      <c r="O3" s="19">
        <v>7</v>
      </c>
      <c r="P3" s="17">
        <v>5</v>
      </c>
      <c r="Q3" s="17">
        <f>INT(40000*M3/F3)+100000*(99-D3+1000*(10-P3))</f>
        <v>509869230</v>
      </c>
      <c r="R3" s="17">
        <f>100000*INT(99999-40000*O3/F3)+INT(1000*((J3-L3)/F3+50))</f>
        <v>8922956000</v>
      </c>
      <c r="S3" s="17">
        <f t="shared" ref="S3:S34" si="0">V3+1000*(INT(1000*J3/F3))</f>
        <v>30423001</v>
      </c>
      <c r="T3" s="17">
        <f>RANK(S3,S$3:S$55)+1000*RANK(R3,R$3:R$55)+1000000*RANK(Q3,Q$3:Q$55)</f>
        <v>1001005</v>
      </c>
      <c r="U3" s="17">
        <f>RANK(T3,T$3:T$55,1)</f>
        <v>1</v>
      </c>
      <c r="V3" s="17">
        <v>1</v>
      </c>
      <c r="W3" s="17"/>
    </row>
    <row r="4" spans="1:23" x14ac:dyDescent="0.35">
      <c r="A4" s="17"/>
      <c r="B4" s="17"/>
      <c r="C4" s="17"/>
      <c r="D4" s="18">
        <v>2</v>
      </c>
      <c r="E4" s="18" t="s">
        <v>319</v>
      </c>
      <c r="F4" s="18">
        <v>26</v>
      </c>
      <c r="G4" s="18">
        <v>19</v>
      </c>
      <c r="H4" s="18">
        <v>3</v>
      </c>
      <c r="I4" s="18">
        <v>4</v>
      </c>
      <c r="J4" s="18">
        <v>728</v>
      </c>
      <c r="K4" s="18" t="s">
        <v>20</v>
      </c>
      <c r="L4" s="19">
        <v>650</v>
      </c>
      <c r="M4" s="18">
        <v>41</v>
      </c>
      <c r="N4" s="18" t="s">
        <v>20</v>
      </c>
      <c r="O4" s="19">
        <v>11</v>
      </c>
      <c r="P4" s="17">
        <v>5</v>
      </c>
      <c r="Q4" s="17">
        <f t="shared" ref="Q4:Q43" si="1">INT(40000*M4/F4)+100000*(99-D4+1000*(10-P4))</f>
        <v>509763076</v>
      </c>
      <c r="R4" s="17">
        <f t="shared" ref="R4:R55" si="2">100000*INT(99999-40000*O4/F4)+INT(1000*((J4-L4)/F4+50))</f>
        <v>8307553000</v>
      </c>
      <c r="S4" s="17">
        <f t="shared" si="0"/>
        <v>28000002</v>
      </c>
      <c r="T4" s="17">
        <f t="shared" ref="T4:T55" si="3">RANK(S4,S$3:S$55)+1000*RANK(R4,R$3:R$55)+1000000*RANK(Q4,Q$3:Q$55)</f>
        <v>2002027</v>
      </c>
      <c r="U4" s="17">
        <f t="shared" ref="U4:U55" si="4">RANK(T4,T$3:T$55,1)</f>
        <v>2</v>
      </c>
      <c r="V4" s="17">
        <f>+V3+1</f>
        <v>2</v>
      </c>
      <c r="W4" s="17"/>
    </row>
    <row r="5" spans="1:23" x14ac:dyDescent="0.35">
      <c r="A5" s="17"/>
      <c r="B5" s="17"/>
      <c r="C5" s="17"/>
      <c r="D5" s="18">
        <v>3</v>
      </c>
      <c r="E5" s="18" t="s">
        <v>285</v>
      </c>
      <c r="F5" s="18">
        <v>26</v>
      </c>
      <c r="G5" s="18">
        <v>17</v>
      </c>
      <c r="H5" s="18">
        <v>5</v>
      </c>
      <c r="I5" s="18">
        <v>4</v>
      </c>
      <c r="J5" s="18">
        <v>773</v>
      </c>
      <c r="K5" s="18" t="s">
        <v>20</v>
      </c>
      <c r="L5" s="19">
        <v>707</v>
      </c>
      <c r="M5" s="18">
        <v>39</v>
      </c>
      <c r="N5" s="18" t="s">
        <v>20</v>
      </c>
      <c r="O5" s="19">
        <v>13</v>
      </c>
      <c r="P5" s="17">
        <v>5</v>
      </c>
      <c r="Q5" s="17">
        <f t="shared" si="1"/>
        <v>509660000</v>
      </c>
      <c r="R5" s="17">
        <f t="shared" si="2"/>
        <v>7999952538</v>
      </c>
      <c r="S5" s="17">
        <f t="shared" si="0"/>
        <v>29730003</v>
      </c>
      <c r="T5" s="17">
        <f t="shared" si="3"/>
        <v>3006013</v>
      </c>
      <c r="U5" s="17">
        <f t="shared" si="4"/>
        <v>3</v>
      </c>
      <c r="V5" s="17">
        <f t="shared" ref="V5:V55" si="5">+V4+1</f>
        <v>3</v>
      </c>
      <c r="W5" s="17"/>
    </row>
    <row r="6" spans="1:23" x14ac:dyDescent="0.35">
      <c r="A6" s="17"/>
      <c r="B6" s="17"/>
      <c r="C6" s="17"/>
      <c r="D6" s="18">
        <v>4</v>
      </c>
      <c r="E6" s="18" t="s">
        <v>301</v>
      </c>
      <c r="F6" s="18">
        <v>26</v>
      </c>
      <c r="G6" s="18">
        <v>13</v>
      </c>
      <c r="H6" s="18">
        <v>2</v>
      </c>
      <c r="I6" s="18">
        <v>11</v>
      </c>
      <c r="J6" s="18">
        <v>732</v>
      </c>
      <c r="K6" s="18" t="s">
        <v>20</v>
      </c>
      <c r="L6" s="19">
        <v>733</v>
      </c>
      <c r="M6" s="18">
        <v>28</v>
      </c>
      <c r="N6" s="18" t="s">
        <v>20</v>
      </c>
      <c r="O6" s="19">
        <v>24</v>
      </c>
      <c r="P6" s="17">
        <v>5</v>
      </c>
      <c r="Q6" s="17">
        <f t="shared" si="1"/>
        <v>509543076</v>
      </c>
      <c r="R6" s="17">
        <f t="shared" si="2"/>
        <v>6307549961</v>
      </c>
      <c r="S6" s="17">
        <f t="shared" si="0"/>
        <v>28153004</v>
      </c>
      <c r="T6" s="17">
        <f t="shared" si="3"/>
        <v>4020022</v>
      </c>
      <c r="U6" s="17">
        <f t="shared" si="4"/>
        <v>4</v>
      </c>
      <c r="V6" s="17">
        <f t="shared" si="5"/>
        <v>4</v>
      </c>
      <c r="W6" s="17"/>
    </row>
    <row r="7" spans="1:23" x14ac:dyDescent="0.35">
      <c r="A7" s="17"/>
      <c r="B7" s="17"/>
      <c r="C7" s="17"/>
      <c r="D7" s="18">
        <v>5</v>
      </c>
      <c r="E7" s="18" t="s">
        <v>321</v>
      </c>
      <c r="F7" s="18">
        <v>26</v>
      </c>
      <c r="G7" s="18">
        <v>12</v>
      </c>
      <c r="H7" s="18">
        <v>3</v>
      </c>
      <c r="I7" s="18">
        <v>11</v>
      </c>
      <c r="J7" s="18">
        <v>736</v>
      </c>
      <c r="K7" s="18" t="s">
        <v>20</v>
      </c>
      <c r="L7" s="19">
        <v>708</v>
      </c>
      <c r="M7" s="18">
        <v>27</v>
      </c>
      <c r="N7" s="18" t="s">
        <v>20</v>
      </c>
      <c r="O7" s="19">
        <v>25</v>
      </c>
      <c r="P7" s="17">
        <v>5</v>
      </c>
      <c r="Q7" s="17">
        <f t="shared" si="1"/>
        <v>509441538</v>
      </c>
      <c r="R7" s="17">
        <f t="shared" si="2"/>
        <v>6153751076</v>
      </c>
      <c r="S7" s="17">
        <f t="shared" si="0"/>
        <v>28307005</v>
      </c>
      <c r="T7" s="17">
        <f t="shared" si="3"/>
        <v>5025021</v>
      </c>
      <c r="U7" s="17">
        <f t="shared" si="4"/>
        <v>5</v>
      </c>
      <c r="V7" s="17">
        <f t="shared" si="5"/>
        <v>5</v>
      </c>
      <c r="W7" s="17"/>
    </row>
    <row r="8" spans="1:23" x14ac:dyDescent="0.35">
      <c r="A8" s="17"/>
      <c r="B8" s="17"/>
      <c r="C8" s="17"/>
      <c r="D8" s="18">
        <v>6</v>
      </c>
      <c r="E8" s="18" t="s">
        <v>320</v>
      </c>
      <c r="F8" s="18">
        <v>26</v>
      </c>
      <c r="G8" s="18">
        <v>12</v>
      </c>
      <c r="H8" s="18">
        <v>3</v>
      </c>
      <c r="I8" s="18">
        <v>11</v>
      </c>
      <c r="J8" s="18">
        <v>785</v>
      </c>
      <c r="K8" s="18" t="s">
        <v>20</v>
      </c>
      <c r="L8" s="19">
        <v>734</v>
      </c>
      <c r="M8" s="18">
        <v>25</v>
      </c>
      <c r="N8" s="18" t="s">
        <v>20</v>
      </c>
      <c r="O8" s="19">
        <v>25</v>
      </c>
      <c r="P8" s="17">
        <v>5</v>
      </c>
      <c r="Q8" s="17">
        <f t="shared" si="1"/>
        <v>509338461</v>
      </c>
      <c r="R8" s="17">
        <f t="shared" si="2"/>
        <v>6153751961</v>
      </c>
      <c r="S8" s="17">
        <f t="shared" si="0"/>
        <v>30192006</v>
      </c>
      <c r="T8" s="17">
        <f t="shared" si="3"/>
        <v>6024009</v>
      </c>
      <c r="U8" s="17">
        <f t="shared" si="4"/>
        <v>6</v>
      </c>
      <c r="V8" s="17">
        <f t="shared" si="5"/>
        <v>6</v>
      </c>
      <c r="W8" s="17"/>
    </row>
    <row r="9" spans="1:23" x14ac:dyDescent="0.35">
      <c r="A9" s="17"/>
      <c r="B9" s="17"/>
      <c r="C9" s="17"/>
      <c r="D9" s="18">
        <v>7</v>
      </c>
      <c r="E9" s="18" t="s">
        <v>323</v>
      </c>
      <c r="F9" s="18">
        <v>26</v>
      </c>
      <c r="G9" s="18">
        <v>12</v>
      </c>
      <c r="H9" s="18">
        <v>1</v>
      </c>
      <c r="I9" s="18">
        <v>13</v>
      </c>
      <c r="J9" s="18">
        <v>737</v>
      </c>
      <c r="K9" s="18" t="s">
        <v>20</v>
      </c>
      <c r="L9" s="19">
        <v>747</v>
      </c>
      <c r="M9" s="18">
        <v>25</v>
      </c>
      <c r="N9" s="18" t="s">
        <v>20</v>
      </c>
      <c r="O9" s="19">
        <v>27</v>
      </c>
      <c r="P9" s="17">
        <v>5</v>
      </c>
      <c r="Q9" s="17">
        <f t="shared" si="1"/>
        <v>509238461</v>
      </c>
      <c r="R9" s="17">
        <f t="shared" si="2"/>
        <v>5846049615</v>
      </c>
      <c r="S9" s="17">
        <f t="shared" si="0"/>
        <v>28346007</v>
      </c>
      <c r="T9" s="17">
        <f t="shared" si="3"/>
        <v>7028020</v>
      </c>
      <c r="U9" s="17">
        <f t="shared" si="4"/>
        <v>7</v>
      </c>
      <c r="V9" s="17">
        <f t="shared" si="5"/>
        <v>7</v>
      </c>
      <c r="W9" s="17"/>
    </row>
    <row r="10" spans="1:23" x14ac:dyDescent="0.35">
      <c r="A10" s="17"/>
      <c r="B10" s="17"/>
      <c r="C10" s="17"/>
      <c r="D10" s="18">
        <v>8</v>
      </c>
      <c r="E10" s="18" t="s">
        <v>282</v>
      </c>
      <c r="F10" s="18">
        <v>26</v>
      </c>
      <c r="G10" s="18">
        <v>12</v>
      </c>
      <c r="H10" s="18">
        <v>1</v>
      </c>
      <c r="I10" s="18">
        <v>13</v>
      </c>
      <c r="J10" s="18">
        <v>688</v>
      </c>
      <c r="K10" s="18" t="s">
        <v>20</v>
      </c>
      <c r="L10" s="19">
        <v>687</v>
      </c>
      <c r="M10" s="18">
        <v>25</v>
      </c>
      <c r="N10" s="18" t="s">
        <v>20</v>
      </c>
      <c r="O10" s="19">
        <v>27</v>
      </c>
      <c r="P10" s="17">
        <v>5</v>
      </c>
      <c r="Q10" s="17">
        <f t="shared" si="1"/>
        <v>509138461</v>
      </c>
      <c r="R10" s="17">
        <f t="shared" si="2"/>
        <v>5846050038</v>
      </c>
      <c r="S10" s="17">
        <f t="shared" si="0"/>
        <v>26461008</v>
      </c>
      <c r="T10" s="17">
        <f t="shared" si="3"/>
        <v>8027040</v>
      </c>
      <c r="U10" s="17">
        <f t="shared" si="4"/>
        <v>8</v>
      </c>
      <c r="V10" s="17">
        <f t="shared" si="5"/>
        <v>8</v>
      </c>
      <c r="W10" s="17"/>
    </row>
    <row r="11" spans="1:23" x14ac:dyDescent="0.35">
      <c r="A11" s="17"/>
      <c r="B11" s="17"/>
      <c r="C11" s="17"/>
      <c r="D11" s="18">
        <v>9</v>
      </c>
      <c r="E11" s="18" t="s">
        <v>280</v>
      </c>
      <c r="F11" s="18">
        <v>26</v>
      </c>
      <c r="G11" s="18">
        <v>10</v>
      </c>
      <c r="H11" s="18">
        <v>2</v>
      </c>
      <c r="I11" s="18">
        <v>14</v>
      </c>
      <c r="J11" s="18">
        <v>680</v>
      </c>
      <c r="K11" s="18" t="s">
        <v>20</v>
      </c>
      <c r="L11" s="19">
        <v>685</v>
      </c>
      <c r="M11" s="18">
        <v>22</v>
      </c>
      <c r="N11" s="18" t="s">
        <v>20</v>
      </c>
      <c r="O11" s="19">
        <v>30</v>
      </c>
      <c r="P11" s="17">
        <v>5</v>
      </c>
      <c r="Q11" s="17">
        <f t="shared" si="1"/>
        <v>509033846</v>
      </c>
      <c r="R11" s="17">
        <f t="shared" si="2"/>
        <v>5384549807</v>
      </c>
      <c r="S11" s="17">
        <f t="shared" si="0"/>
        <v>26153009</v>
      </c>
      <c r="T11" s="17">
        <f t="shared" si="3"/>
        <v>9034043</v>
      </c>
      <c r="U11" s="17">
        <f t="shared" si="4"/>
        <v>9</v>
      </c>
      <c r="V11" s="17">
        <f t="shared" si="5"/>
        <v>9</v>
      </c>
      <c r="W11" s="17"/>
    </row>
    <row r="12" spans="1:23" x14ac:dyDescent="0.35">
      <c r="A12" s="17"/>
      <c r="B12" s="17"/>
      <c r="C12" s="17"/>
      <c r="D12" s="18">
        <v>10</v>
      </c>
      <c r="E12" s="18" t="s">
        <v>311</v>
      </c>
      <c r="F12" s="18">
        <v>26</v>
      </c>
      <c r="G12" s="18">
        <v>11</v>
      </c>
      <c r="H12" s="18">
        <v>0</v>
      </c>
      <c r="I12" s="18">
        <v>15</v>
      </c>
      <c r="J12" s="18">
        <v>786</v>
      </c>
      <c r="K12" s="18" t="s">
        <v>20</v>
      </c>
      <c r="L12" s="19">
        <v>792</v>
      </c>
      <c r="M12" s="18">
        <v>21</v>
      </c>
      <c r="N12" s="18" t="s">
        <v>20</v>
      </c>
      <c r="O12" s="19">
        <v>30</v>
      </c>
      <c r="P12" s="17">
        <v>5</v>
      </c>
      <c r="Q12" s="17">
        <f t="shared" si="1"/>
        <v>508932307</v>
      </c>
      <c r="R12" s="17">
        <f t="shared" si="2"/>
        <v>5384549769</v>
      </c>
      <c r="S12" s="17">
        <f t="shared" si="0"/>
        <v>30230010</v>
      </c>
      <c r="T12" s="17">
        <f t="shared" si="3"/>
        <v>10035008</v>
      </c>
      <c r="U12" s="17">
        <f t="shared" si="4"/>
        <v>10</v>
      </c>
      <c r="V12" s="17">
        <f t="shared" si="5"/>
        <v>10</v>
      </c>
      <c r="W12" s="17"/>
    </row>
    <row r="13" spans="1:23" x14ac:dyDescent="0.35">
      <c r="A13" s="17"/>
      <c r="B13" s="17"/>
      <c r="C13" s="17"/>
      <c r="D13" s="18">
        <v>11</v>
      </c>
      <c r="E13" s="18" t="s">
        <v>322</v>
      </c>
      <c r="F13" s="18">
        <v>26</v>
      </c>
      <c r="G13" s="18">
        <v>9</v>
      </c>
      <c r="H13" s="18">
        <v>2</v>
      </c>
      <c r="I13" s="18">
        <v>15</v>
      </c>
      <c r="J13" s="18">
        <v>711</v>
      </c>
      <c r="K13" s="18" t="s">
        <v>20</v>
      </c>
      <c r="L13" s="19">
        <v>756</v>
      </c>
      <c r="M13" s="18">
        <v>20</v>
      </c>
      <c r="N13" s="18" t="s">
        <v>20</v>
      </c>
      <c r="O13" s="19">
        <v>32</v>
      </c>
      <c r="P13" s="17">
        <v>5</v>
      </c>
      <c r="Q13" s="17">
        <f t="shared" si="1"/>
        <v>508830769</v>
      </c>
      <c r="R13" s="17">
        <f t="shared" si="2"/>
        <v>5076848269</v>
      </c>
      <c r="S13" s="17">
        <f t="shared" si="0"/>
        <v>27346011</v>
      </c>
      <c r="T13" s="17">
        <f t="shared" si="3"/>
        <v>11038034</v>
      </c>
      <c r="U13" s="17">
        <f t="shared" si="4"/>
        <v>11</v>
      </c>
      <c r="V13" s="17">
        <f t="shared" si="5"/>
        <v>11</v>
      </c>
      <c r="W13" s="17"/>
    </row>
    <row r="14" spans="1:23" x14ac:dyDescent="0.35">
      <c r="A14" s="17"/>
      <c r="B14" s="17"/>
      <c r="C14" s="17"/>
      <c r="D14" s="18">
        <v>12</v>
      </c>
      <c r="E14" s="18" t="s">
        <v>325</v>
      </c>
      <c r="F14" s="18">
        <v>26</v>
      </c>
      <c r="G14" s="18">
        <v>8</v>
      </c>
      <c r="H14" s="18">
        <v>2</v>
      </c>
      <c r="I14" s="18">
        <v>16</v>
      </c>
      <c r="J14" s="18">
        <v>742</v>
      </c>
      <c r="K14" s="18" t="s">
        <v>20</v>
      </c>
      <c r="L14" s="19">
        <v>772</v>
      </c>
      <c r="M14" s="18">
        <v>18</v>
      </c>
      <c r="N14" s="18" t="s">
        <v>20</v>
      </c>
      <c r="O14" s="19">
        <v>34</v>
      </c>
      <c r="P14" s="17">
        <v>5</v>
      </c>
      <c r="Q14" s="17">
        <f t="shared" si="1"/>
        <v>508727692</v>
      </c>
      <c r="R14" s="17">
        <f t="shared" si="2"/>
        <v>4769148846</v>
      </c>
      <c r="S14" s="17">
        <f t="shared" si="0"/>
        <v>28538012</v>
      </c>
      <c r="T14" s="17">
        <f t="shared" si="3"/>
        <v>12043019</v>
      </c>
      <c r="U14" s="17">
        <f t="shared" si="4"/>
        <v>12</v>
      </c>
      <c r="V14" s="17">
        <f t="shared" si="5"/>
        <v>12</v>
      </c>
      <c r="W14" s="17"/>
    </row>
    <row r="15" spans="1:23" x14ac:dyDescent="0.35">
      <c r="A15" s="17"/>
      <c r="B15" s="17"/>
      <c r="C15" s="17"/>
      <c r="D15" s="18">
        <v>13</v>
      </c>
      <c r="E15" s="18" t="s">
        <v>324</v>
      </c>
      <c r="F15" s="18">
        <v>26</v>
      </c>
      <c r="G15" s="18">
        <v>6</v>
      </c>
      <c r="H15" s="18">
        <v>3</v>
      </c>
      <c r="I15" s="18">
        <v>17</v>
      </c>
      <c r="J15" s="18">
        <v>742</v>
      </c>
      <c r="K15" s="18" t="s">
        <v>20</v>
      </c>
      <c r="L15" s="19">
        <v>805</v>
      </c>
      <c r="M15" s="18">
        <v>15</v>
      </c>
      <c r="N15" s="18" t="s">
        <v>20</v>
      </c>
      <c r="O15" s="19">
        <v>37</v>
      </c>
      <c r="P15" s="17">
        <v>5</v>
      </c>
      <c r="Q15" s="17">
        <f t="shared" si="1"/>
        <v>508623076</v>
      </c>
      <c r="R15" s="17">
        <f t="shared" si="2"/>
        <v>4307547576</v>
      </c>
      <c r="S15" s="17">
        <f t="shared" si="0"/>
        <v>28538013</v>
      </c>
      <c r="T15" s="17">
        <f t="shared" si="3"/>
        <v>13047018</v>
      </c>
      <c r="U15" s="17">
        <f t="shared" si="4"/>
        <v>13</v>
      </c>
      <c r="V15" s="17">
        <f t="shared" si="5"/>
        <v>13</v>
      </c>
      <c r="W15" s="17"/>
    </row>
    <row r="16" spans="1:23" x14ac:dyDescent="0.35">
      <c r="A16" s="17"/>
      <c r="B16" s="17"/>
      <c r="C16" s="17"/>
      <c r="D16" s="18">
        <v>14</v>
      </c>
      <c r="E16" s="18" t="s">
        <v>326</v>
      </c>
      <c r="F16" s="18">
        <v>26</v>
      </c>
      <c r="G16" s="18">
        <v>5</v>
      </c>
      <c r="H16" s="18">
        <v>0</v>
      </c>
      <c r="I16" s="18">
        <v>21</v>
      </c>
      <c r="J16" s="18">
        <v>575</v>
      </c>
      <c r="K16" s="18" t="s">
        <v>20</v>
      </c>
      <c r="L16" s="19">
        <v>795</v>
      </c>
      <c r="M16" s="18">
        <v>10</v>
      </c>
      <c r="N16" s="18" t="s">
        <v>20</v>
      </c>
      <c r="O16" s="19">
        <v>42</v>
      </c>
      <c r="P16" s="17">
        <v>5</v>
      </c>
      <c r="Q16" s="17">
        <f t="shared" si="1"/>
        <v>508515384</v>
      </c>
      <c r="R16" s="17">
        <f t="shared" si="2"/>
        <v>3538341538</v>
      </c>
      <c r="S16" s="17">
        <f t="shared" si="0"/>
        <v>22115014</v>
      </c>
      <c r="T16" s="17">
        <f t="shared" si="3"/>
        <v>14051052</v>
      </c>
      <c r="U16" s="17">
        <f t="shared" si="4"/>
        <v>14</v>
      </c>
      <c r="V16" s="17">
        <f t="shared" si="5"/>
        <v>14</v>
      </c>
      <c r="W16" s="17"/>
    </row>
    <row r="17" spans="1:23" x14ac:dyDescent="0.35">
      <c r="A17" s="17"/>
      <c r="B17" s="17"/>
      <c r="C17" s="16" t="s">
        <v>536</v>
      </c>
      <c r="D17" s="18">
        <v>1</v>
      </c>
      <c r="E17" s="18" t="s">
        <v>327</v>
      </c>
      <c r="F17" s="18">
        <v>26</v>
      </c>
      <c r="G17" s="18">
        <v>18</v>
      </c>
      <c r="H17" s="18">
        <v>4</v>
      </c>
      <c r="I17" s="18">
        <v>4</v>
      </c>
      <c r="J17" s="18">
        <v>786</v>
      </c>
      <c r="K17" s="18" t="s">
        <v>20</v>
      </c>
      <c r="L17" s="19">
        <v>679</v>
      </c>
      <c r="M17" s="18">
        <v>40</v>
      </c>
      <c r="N17" s="18" t="s">
        <v>20</v>
      </c>
      <c r="O17" s="19">
        <v>12</v>
      </c>
      <c r="P17" s="17">
        <v>6</v>
      </c>
      <c r="Q17" s="17">
        <f t="shared" si="1"/>
        <v>409861538</v>
      </c>
      <c r="R17" s="17">
        <f t="shared" si="2"/>
        <v>8153754115</v>
      </c>
      <c r="S17" s="17">
        <f t="shared" si="0"/>
        <v>30230015</v>
      </c>
      <c r="T17" s="17">
        <f t="shared" si="3"/>
        <v>15005007</v>
      </c>
      <c r="U17" s="17">
        <f t="shared" si="4"/>
        <v>15</v>
      </c>
      <c r="V17" s="17">
        <f t="shared" si="5"/>
        <v>15</v>
      </c>
      <c r="W17" s="17" t="str">
        <f>"VL Platz "&amp;D17</f>
        <v>VL Platz 1</v>
      </c>
    </row>
    <row r="18" spans="1:23" x14ac:dyDescent="0.35">
      <c r="A18" s="17"/>
      <c r="B18" s="17"/>
      <c r="C18" s="17"/>
      <c r="D18" s="18">
        <v>2</v>
      </c>
      <c r="E18" s="18" t="s">
        <v>281</v>
      </c>
      <c r="F18" s="18">
        <v>26</v>
      </c>
      <c r="G18" s="18">
        <v>18</v>
      </c>
      <c r="H18" s="18">
        <v>4</v>
      </c>
      <c r="I18" s="18">
        <v>4</v>
      </c>
      <c r="J18" s="18">
        <v>805</v>
      </c>
      <c r="K18" s="18" t="s">
        <v>20</v>
      </c>
      <c r="L18" s="19">
        <v>690</v>
      </c>
      <c r="M18" s="18">
        <v>40</v>
      </c>
      <c r="N18" s="18" t="s">
        <v>20</v>
      </c>
      <c r="O18" s="19">
        <v>12</v>
      </c>
      <c r="P18" s="17">
        <v>6</v>
      </c>
      <c r="Q18" s="17">
        <f t="shared" si="1"/>
        <v>409761538</v>
      </c>
      <c r="R18" s="17">
        <f t="shared" si="2"/>
        <v>8153754423</v>
      </c>
      <c r="S18" s="17">
        <f t="shared" si="0"/>
        <v>30961016</v>
      </c>
      <c r="T18" s="17">
        <f t="shared" si="3"/>
        <v>16004001</v>
      </c>
      <c r="U18" s="17">
        <f t="shared" si="4"/>
        <v>16</v>
      </c>
      <c r="V18" s="17">
        <f t="shared" si="5"/>
        <v>16</v>
      </c>
      <c r="W18" s="17" t="str">
        <f t="shared" ref="W18:W30" si="6">"VL Platz "&amp;D18</f>
        <v>VL Platz 2</v>
      </c>
    </row>
    <row r="19" spans="1:23" x14ac:dyDescent="0.35">
      <c r="A19" s="17"/>
      <c r="B19" s="17"/>
      <c r="C19" s="17"/>
      <c r="D19" s="18">
        <v>3</v>
      </c>
      <c r="E19" s="18" t="s">
        <v>279</v>
      </c>
      <c r="F19" s="18">
        <v>26</v>
      </c>
      <c r="G19" s="18">
        <v>18</v>
      </c>
      <c r="H19" s="18">
        <v>1</v>
      </c>
      <c r="I19" s="18">
        <v>7</v>
      </c>
      <c r="J19" s="18">
        <v>779</v>
      </c>
      <c r="K19" s="18" t="s">
        <v>20</v>
      </c>
      <c r="L19" s="19">
        <v>686</v>
      </c>
      <c r="M19" s="18">
        <v>37</v>
      </c>
      <c r="N19" s="18" t="s">
        <v>20</v>
      </c>
      <c r="O19" s="19">
        <v>15</v>
      </c>
      <c r="P19" s="17">
        <v>6</v>
      </c>
      <c r="Q19" s="17">
        <f t="shared" si="1"/>
        <v>409656923</v>
      </c>
      <c r="R19" s="17">
        <f t="shared" si="2"/>
        <v>7692253576</v>
      </c>
      <c r="S19" s="17">
        <f t="shared" si="0"/>
        <v>29961017</v>
      </c>
      <c r="T19" s="17">
        <f t="shared" si="3"/>
        <v>17010012</v>
      </c>
      <c r="U19" s="17">
        <f t="shared" si="4"/>
        <v>17</v>
      </c>
      <c r="V19" s="17">
        <f t="shared" si="5"/>
        <v>17</v>
      </c>
      <c r="W19" s="17" t="str">
        <f t="shared" si="6"/>
        <v>VL Platz 3</v>
      </c>
    </row>
    <row r="20" spans="1:23" x14ac:dyDescent="0.35">
      <c r="A20" s="17"/>
      <c r="B20" s="17"/>
      <c r="C20" s="17"/>
      <c r="D20" s="18">
        <v>4</v>
      </c>
      <c r="E20" s="18" t="s">
        <v>278</v>
      </c>
      <c r="F20" s="18">
        <v>26</v>
      </c>
      <c r="G20" s="18">
        <v>18</v>
      </c>
      <c r="H20" s="18">
        <v>0</v>
      </c>
      <c r="I20" s="18">
        <v>8</v>
      </c>
      <c r="J20" s="18">
        <v>795</v>
      </c>
      <c r="K20" s="18" t="s">
        <v>20</v>
      </c>
      <c r="L20" s="19">
        <v>653</v>
      </c>
      <c r="M20" s="18">
        <v>36</v>
      </c>
      <c r="N20" s="18" t="s">
        <v>20</v>
      </c>
      <c r="O20" s="19">
        <v>16</v>
      </c>
      <c r="P20" s="17">
        <v>6</v>
      </c>
      <c r="Q20" s="17">
        <f t="shared" si="1"/>
        <v>409555384</v>
      </c>
      <c r="R20" s="17">
        <f t="shared" si="2"/>
        <v>7538355461</v>
      </c>
      <c r="S20" s="17">
        <f t="shared" si="0"/>
        <v>30576018</v>
      </c>
      <c r="T20" s="17">
        <f t="shared" si="3"/>
        <v>18011004</v>
      </c>
      <c r="U20" s="17">
        <f t="shared" si="4"/>
        <v>18</v>
      </c>
      <c r="V20" s="17">
        <f t="shared" si="5"/>
        <v>18</v>
      </c>
      <c r="W20" s="17" t="str">
        <f t="shared" si="6"/>
        <v>VL Platz 4</v>
      </c>
    </row>
    <row r="21" spans="1:23" x14ac:dyDescent="0.35">
      <c r="A21" s="17"/>
      <c r="B21" s="17"/>
      <c r="C21" s="17"/>
      <c r="D21" s="18">
        <v>5</v>
      </c>
      <c r="E21" s="18" t="s">
        <v>317</v>
      </c>
      <c r="F21" s="18">
        <v>26</v>
      </c>
      <c r="G21" s="18">
        <v>17</v>
      </c>
      <c r="H21" s="18">
        <v>1</v>
      </c>
      <c r="I21" s="18">
        <v>8</v>
      </c>
      <c r="J21" s="18">
        <v>784</v>
      </c>
      <c r="K21" s="18" t="s">
        <v>20</v>
      </c>
      <c r="L21" s="19">
        <v>674</v>
      </c>
      <c r="M21" s="18">
        <v>35</v>
      </c>
      <c r="N21" s="18" t="s">
        <v>20</v>
      </c>
      <c r="O21" s="19">
        <v>17</v>
      </c>
      <c r="P21" s="17">
        <v>6</v>
      </c>
      <c r="Q21" s="17">
        <f t="shared" si="1"/>
        <v>409453846</v>
      </c>
      <c r="R21" s="17">
        <f t="shared" si="2"/>
        <v>7384554230</v>
      </c>
      <c r="S21" s="17">
        <f t="shared" si="0"/>
        <v>30153019</v>
      </c>
      <c r="T21" s="17">
        <f t="shared" si="3"/>
        <v>19015010</v>
      </c>
      <c r="U21" s="17">
        <f t="shared" si="4"/>
        <v>19</v>
      </c>
      <c r="V21" s="17">
        <f t="shared" si="5"/>
        <v>19</v>
      </c>
      <c r="W21" s="17" t="str">
        <f t="shared" si="6"/>
        <v>VL Platz 5</v>
      </c>
    </row>
    <row r="22" spans="1:23" x14ac:dyDescent="0.35">
      <c r="A22" s="17"/>
      <c r="B22" s="17"/>
      <c r="C22" s="17"/>
      <c r="D22" s="18">
        <v>6</v>
      </c>
      <c r="E22" s="18" t="s">
        <v>328</v>
      </c>
      <c r="F22" s="18">
        <v>26</v>
      </c>
      <c r="G22" s="18">
        <v>14</v>
      </c>
      <c r="H22" s="18">
        <v>1</v>
      </c>
      <c r="I22" s="18">
        <v>11</v>
      </c>
      <c r="J22" s="18">
        <v>731</v>
      </c>
      <c r="K22" s="18" t="s">
        <v>20</v>
      </c>
      <c r="L22" s="19">
        <v>750</v>
      </c>
      <c r="M22" s="18">
        <v>29</v>
      </c>
      <c r="N22" s="18" t="s">
        <v>20</v>
      </c>
      <c r="O22" s="19">
        <v>23</v>
      </c>
      <c r="P22" s="17">
        <v>6</v>
      </c>
      <c r="Q22" s="17">
        <f t="shared" si="1"/>
        <v>409344615</v>
      </c>
      <c r="R22" s="17">
        <f t="shared" si="2"/>
        <v>6461449269</v>
      </c>
      <c r="S22" s="17">
        <f t="shared" si="0"/>
        <v>28115020</v>
      </c>
      <c r="T22" s="17">
        <f t="shared" si="3"/>
        <v>20018024</v>
      </c>
      <c r="U22" s="17">
        <f t="shared" si="4"/>
        <v>20</v>
      </c>
      <c r="V22" s="17">
        <f t="shared" si="5"/>
        <v>20</v>
      </c>
      <c r="W22" s="17" t="str">
        <f t="shared" si="6"/>
        <v>VL Platz 6</v>
      </c>
    </row>
    <row r="23" spans="1:23" x14ac:dyDescent="0.35">
      <c r="A23" s="17"/>
      <c r="B23" s="17"/>
      <c r="C23" s="17"/>
      <c r="D23" s="18">
        <v>7</v>
      </c>
      <c r="E23" s="18" t="s">
        <v>330</v>
      </c>
      <c r="F23" s="18">
        <v>26</v>
      </c>
      <c r="G23" s="18">
        <v>14</v>
      </c>
      <c r="H23" s="18">
        <v>1</v>
      </c>
      <c r="I23" s="18">
        <v>11</v>
      </c>
      <c r="J23" s="18">
        <v>731</v>
      </c>
      <c r="K23" s="18" t="s">
        <v>20</v>
      </c>
      <c r="L23" s="19">
        <v>733</v>
      </c>
      <c r="M23" s="18">
        <v>26</v>
      </c>
      <c r="N23" s="18" t="s">
        <v>20</v>
      </c>
      <c r="O23" s="19">
        <v>23</v>
      </c>
      <c r="P23" s="17">
        <v>6</v>
      </c>
      <c r="Q23" s="17">
        <f t="shared" si="1"/>
        <v>409240000</v>
      </c>
      <c r="R23" s="17">
        <f t="shared" si="2"/>
        <v>6461449923</v>
      </c>
      <c r="S23" s="17">
        <f t="shared" si="0"/>
        <v>28115021</v>
      </c>
      <c r="T23" s="17">
        <f t="shared" si="3"/>
        <v>21017023</v>
      </c>
      <c r="U23" s="17">
        <f t="shared" si="4"/>
        <v>21</v>
      </c>
      <c r="V23" s="17">
        <f t="shared" si="5"/>
        <v>21</v>
      </c>
      <c r="W23" s="17" t="str">
        <f t="shared" si="6"/>
        <v>VL Platz 7</v>
      </c>
    </row>
    <row r="24" spans="1:23" x14ac:dyDescent="0.35">
      <c r="A24" s="17"/>
      <c r="B24" s="17"/>
      <c r="C24" s="17"/>
      <c r="D24" s="18">
        <v>8</v>
      </c>
      <c r="E24" s="18" t="s">
        <v>299</v>
      </c>
      <c r="F24" s="18">
        <v>26</v>
      </c>
      <c r="G24" s="18">
        <v>10</v>
      </c>
      <c r="H24" s="18">
        <v>4</v>
      </c>
      <c r="I24" s="18">
        <v>12</v>
      </c>
      <c r="J24" s="18">
        <v>675</v>
      </c>
      <c r="K24" s="18" t="s">
        <v>20</v>
      </c>
      <c r="L24" s="19">
        <v>672</v>
      </c>
      <c r="M24" s="18">
        <v>24</v>
      </c>
      <c r="N24" s="18" t="s">
        <v>20</v>
      </c>
      <c r="O24" s="19">
        <v>28</v>
      </c>
      <c r="P24" s="17">
        <v>6</v>
      </c>
      <c r="Q24" s="17">
        <f t="shared" si="1"/>
        <v>409136923</v>
      </c>
      <c r="R24" s="17">
        <f t="shared" si="2"/>
        <v>5692250115</v>
      </c>
      <c r="S24" s="17">
        <f t="shared" si="0"/>
        <v>25961022</v>
      </c>
      <c r="T24" s="17">
        <f t="shared" si="3"/>
        <v>22030044</v>
      </c>
      <c r="U24" s="17">
        <f t="shared" si="4"/>
        <v>22</v>
      </c>
      <c r="V24" s="17">
        <f t="shared" si="5"/>
        <v>22</v>
      </c>
      <c r="W24" s="17" t="str">
        <f t="shared" si="6"/>
        <v>VL Platz 8</v>
      </c>
    </row>
    <row r="25" spans="1:23" x14ac:dyDescent="0.35">
      <c r="A25" s="17"/>
      <c r="B25" s="17"/>
      <c r="C25" s="17"/>
      <c r="D25" s="18">
        <v>9</v>
      </c>
      <c r="E25" s="18" t="s">
        <v>329</v>
      </c>
      <c r="F25" s="18">
        <v>26</v>
      </c>
      <c r="G25" s="18">
        <v>11</v>
      </c>
      <c r="H25" s="18">
        <v>0</v>
      </c>
      <c r="I25" s="18">
        <v>15</v>
      </c>
      <c r="J25" s="18">
        <v>728</v>
      </c>
      <c r="K25" s="18" t="s">
        <v>20</v>
      </c>
      <c r="L25" s="19">
        <v>717</v>
      </c>
      <c r="M25" s="18">
        <v>22</v>
      </c>
      <c r="N25" s="18" t="s">
        <v>20</v>
      </c>
      <c r="O25" s="19">
        <v>30</v>
      </c>
      <c r="P25" s="17">
        <v>6</v>
      </c>
      <c r="Q25" s="17">
        <f t="shared" si="1"/>
        <v>409033846</v>
      </c>
      <c r="R25" s="17">
        <f t="shared" si="2"/>
        <v>5384550423</v>
      </c>
      <c r="S25" s="17">
        <f t="shared" si="0"/>
        <v>28000023</v>
      </c>
      <c r="T25" s="17">
        <f t="shared" si="3"/>
        <v>23033026</v>
      </c>
      <c r="U25" s="17">
        <f t="shared" si="4"/>
        <v>23</v>
      </c>
      <c r="V25" s="17">
        <f t="shared" si="5"/>
        <v>23</v>
      </c>
      <c r="W25" s="17" t="str">
        <f t="shared" si="6"/>
        <v>VL Platz 9</v>
      </c>
    </row>
    <row r="26" spans="1:23" x14ac:dyDescent="0.35">
      <c r="A26" s="17"/>
      <c r="B26" s="17"/>
      <c r="C26" s="17"/>
      <c r="D26" s="18">
        <v>10</v>
      </c>
      <c r="E26" s="18" t="s">
        <v>331</v>
      </c>
      <c r="F26" s="18">
        <v>26</v>
      </c>
      <c r="G26" s="18">
        <v>9</v>
      </c>
      <c r="H26" s="18">
        <v>3</v>
      </c>
      <c r="I26" s="18">
        <v>14</v>
      </c>
      <c r="J26" s="18">
        <v>762</v>
      </c>
      <c r="K26" s="18" t="s">
        <v>20</v>
      </c>
      <c r="L26" s="19">
        <v>809</v>
      </c>
      <c r="M26" s="18">
        <v>21</v>
      </c>
      <c r="N26" s="18" t="s">
        <v>20</v>
      </c>
      <c r="O26" s="19">
        <v>31</v>
      </c>
      <c r="P26" s="17">
        <v>6</v>
      </c>
      <c r="Q26" s="17">
        <f t="shared" si="1"/>
        <v>408932307</v>
      </c>
      <c r="R26" s="17">
        <f t="shared" si="2"/>
        <v>5230648192</v>
      </c>
      <c r="S26" s="17">
        <f t="shared" si="0"/>
        <v>29307024</v>
      </c>
      <c r="T26" s="17">
        <f t="shared" si="3"/>
        <v>24036017</v>
      </c>
      <c r="U26" s="17">
        <f t="shared" si="4"/>
        <v>24</v>
      </c>
      <c r="V26" s="17">
        <f t="shared" si="5"/>
        <v>24</v>
      </c>
      <c r="W26" s="17" t="str">
        <f t="shared" si="6"/>
        <v>VL Platz 10</v>
      </c>
    </row>
    <row r="27" spans="1:23" x14ac:dyDescent="0.35">
      <c r="A27" s="17"/>
      <c r="B27" s="17"/>
      <c r="C27" s="17"/>
      <c r="D27" s="18">
        <v>11</v>
      </c>
      <c r="E27" s="18" t="s">
        <v>302</v>
      </c>
      <c r="F27" s="18">
        <v>26</v>
      </c>
      <c r="G27" s="18">
        <v>6</v>
      </c>
      <c r="H27" s="18">
        <v>3</v>
      </c>
      <c r="I27" s="18">
        <v>17</v>
      </c>
      <c r="J27" s="18">
        <v>660</v>
      </c>
      <c r="K27" s="18" t="s">
        <v>20</v>
      </c>
      <c r="L27" s="19">
        <v>723</v>
      </c>
      <c r="M27" s="18">
        <v>15</v>
      </c>
      <c r="N27" s="18" t="s">
        <v>20</v>
      </c>
      <c r="O27" s="19">
        <v>37</v>
      </c>
      <c r="P27" s="17">
        <v>6</v>
      </c>
      <c r="Q27" s="17">
        <f t="shared" si="1"/>
        <v>408823076</v>
      </c>
      <c r="R27" s="17">
        <f t="shared" si="2"/>
        <v>4307547576</v>
      </c>
      <c r="S27" s="17">
        <f t="shared" si="0"/>
        <v>25384025</v>
      </c>
      <c r="T27" s="17">
        <f t="shared" si="3"/>
        <v>25047046</v>
      </c>
      <c r="U27" s="17">
        <f t="shared" si="4"/>
        <v>25</v>
      </c>
      <c r="V27" s="17">
        <f t="shared" si="5"/>
        <v>25</v>
      </c>
      <c r="W27" s="17" t="str">
        <f t="shared" si="6"/>
        <v>VL Platz 11</v>
      </c>
    </row>
    <row r="28" spans="1:23" x14ac:dyDescent="0.35">
      <c r="A28" s="17"/>
      <c r="B28" s="17"/>
      <c r="C28" s="17"/>
      <c r="D28" s="18">
        <v>12</v>
      </c>
      <c r="E28" s="18" t="s">
        <v>332</v>
      </c>
      <c r="F28" s="18">
        <v>26</v>
      </c>
      <c r="G28" s="18">
        <v>7</v>
      </c>
      <c r="H28" s="18">
        <v>1</v>
      </c>
      <c r="I28" s="18">
        <v>18</v>
      </c>
      <c r="J28" s="18">
        <v>690</v>
      </c>
      <c r="K28" s="18" t="s">
        <v>20</v>
      </c>
      <c r="L28" s="19">
        <v>872</v>
      </c>
      <c r="M28" s="18">
        <v>12</v>
      </c>
      <c r="N28" s="18" t="s">
        <v>20</v>
      </c>
      <c r="O28" s="19">
        <v>37</v>
      </c>
      <c r="P28" s="17">
        <v>6</v>
      </c>
      <c r="Q28" s="17">
        <f t="shared" si="1"/>
        <v>408718461</v>
      </c>
      <c r="R28" s="17">
        <f t="shared" si="2"/>
        <v>4307543000</v>
      </c>
      <c r="S28" s="17">
        <f t="shared" si="0"/>
        <v>26538026</v>
      </c>
      <c r="T28" s="17">
        <f t="shared" si="3"/>
        <v>26049038</v>
      </c>
      <c r="U28" s="17">
        <f t="shared" si="4"/>
        <v>26</v>
      </c>
      <c r="V28" s="17">
        <f t="shared" si="5"/>
        <v>26</v>
      </c>
      <c r="W28" s="17" t="str">
        <f t="shared" si="6"/>
        <v>VL Platz 12</v>
      </c>
    </row>
    <row r="29" spans="1:23" x14ac:dyDescent="0.35">
      <c r="A29" s="17"/>
      <c r="B29" s="17"/>
      <c r="C29" s="17"/>
      <c r="D29" s="18">
        <v>13</v>
      </c>
      <c r="E29" s="18" t="s">
        <v>333</v>
      </c>
      <c r="F29" s="18">
        <v>26</v>
      </c>
      <c r="G29" s="18">
        <v>6</v>
      </c>
      <c r="H29" s="18">
        <v>0</v>
      </c>
      <c r="I29" s="18">
        <v>20</v>
      </c>
      <c r="J29" s="18">
        <v>573</v>
      </c>
      <c r="K29" s="18" t="s">
        <v>20</v>
      </c>
      <c r="L29" s="19">
        <v>758</v>
      </c>
      <c r="M29" s="18">
        <v>12</v>
      </c>
      <c r="N29" s="18" t="s">
        <v>20</v>
      </c>
      <c r="O29" s="19">
        <v>40</v>
      </c>
      <c r="P29" s="17">
        <v>6</v>
      </c>
      <c r="Q29" s="17">
        <f t="shared" si="1"/>
        <v>408618461</v>
      </c>
      <c r="R29" s="17">
        <f t="shared" si="2"/>
        <v>3846042884</v>
      </c>
      <c r="S29" s="17">
        <f t="shared" si="0"/>
        <v>22038027</v>
      </c>
      <c r="T29" s="17">
        <f t="shared" si="3"/>
        <v>27050053</v>
      </c>
      <c r="U29" s="17">
        <f t="shared" si="4"/>
        <v>27</v>
      </c>
      <c r="V29" s="17">
        <f t="shared" si="5"/>
        <v>27</v>
      </c>
      <c r="W29" s="17" t="str">
        <f t="shared" si="6"/>
        <v>VL Platz 13</v>
      </c>
    </row>
    <row r="30" spans="1:23" x14ac:dyDescent="0.35">
      <c r="A30" s="17"/>
      <c r="B30" s="17"/>
      <c r="C30" s="17"/>
      <c r="D30" s="18">
        <v>14</v>
      </c>
      <c r="E30" s="18" t="s">
        <v>288</v>
      </c>
      <c r="F30" s="18">
        <v>26</v>
      </c>
      <c r="G30" s="18">
        <v>4</v>
      </c>
      <c r="H30" s="18">
        <v>1</v>
      </c>
      <c r="I30" s="18">
        <v>21</v>
      </c>
      <c r="J30" s="18">
        <v>726</v>
      </c>
      <c r="K30" s="18" t="s">
        <v>20</v>
      </c>
      <c r="L30" s="19">
        <v>809</v>
      </c>
      <c r="M30" s="18">
        <v>9</v>
      </c>
      <c r="N30" s="18" t="s">
        <v>20</v>
      </c>
      <c r="O30" s="19">
        <v>43</v>
      </c>
      <c r="P30" s="17">
        <v>6</v>
      </c>
      <c r="Q30" s="17">
        <f t="shared" si="1"/>
        <v>408513846</v>
      </c>
      <c r="R30" s="17">
        <f t="shared" si="2"/>
        <v>3384546807</v>
      </c>
      <c r="S30" s="17">
        <f t="shared" si="0"/>
        <v>27923028</v>
      </c>
      <c r="T30" s="17">
        <f t="shared" si="3"/>
        <v>28052028</v>
      </c>
      <c r="U30" s="17">
        <f t="shared" si="4"/>
        <v>28</v>
      </c>
      <c r="V30" s="17">
        <f t="shared" si="5"/>
        <v>28</v>
      </c>
      <c r="W30" s="17" t="str">
        <f t="shared" si="6"/>
        <v>VL Platz 14</v>
      </c>
    </row>
    <row r="31" spans="1:23" x14ac:dyDescent="0.35">
      <c r="A31" s="17"/>
      <c r="B31" s="17"/>
      <c r="C31" s="16" t="s">
        <v>537</v>
      </c>
      <c r="D31" s="18">
        <v>1</v>
      </c>
      <c r="E31" s="18" t="s">
        <v>304</v>
      </c>
      <c r="F31" s="18">
        <v>22</v>
      </c>
      <c r="G31" s="18">
        <v>16</v>
      </c>
      <c r="H31" s="18">
        <v>2</v>
      </c>
      <c r="I31" s="18">
        <v>4</v>
      </c>
      <c r="J31" s="18">
        <v>578</v>
      </c>
      <c r="K31" s="18" t="s">
        <v>20</v>
      </c>
      <c r="L31" s="19">
        <v>522</v>
      </c>
      <c r="M31" s="18">
        <v>33</v>
      </c>
      <c r="N31" s="18" t="s">
        <v>20</v>
      </c>
      <c r="O31" s="19">
        <v>10</v>
      </c>
      <c r="P31" s="17">
        <v>7</v>
      </c>
      <c r="Q31" s="17">
        <f t="shared" si="1"/>
        <v>309860000</v>
      </c>
      <c r="R31" s="17">
        <f t="shared" si="2"/>
        <v>8181752545</v>
      </c>
      <c r="S31" s="17">
        <f t="shared" si="0"/>
        <v>26272029</v>
      </c>
      <c r="T31" s="17">
        <f t="shared" si="3"/>
        <v>29003042</v>
      </c>
      <c r="U31" s="17">
        <f t="shared" si="4"/>
        <v>29</v>
      </c>
      <c r="V31" s="17">
        <f t="shared" si="5"/>
        <v>29</v>
      </c>
      <c r="W31" s="17" t="str">
        <f>"LL Platz "&amp;D31&amp;" Rang "&amp;(U31-26-2*D31)</f>
        <v>LL Platz 1 Rang 1</v>
      </c>
    </row>
    <row r="32" spans="1:23" x14ac:dyDescent="0.35">
      <c r="A32" s="17"/>
      <c r="B32" s="17" t="s">
        <v>576</v>
      </c>
      <c r="C32" s="17"/>
      <c r="D32" s="18">
        <v>2</v>
      </c>
      <c r="E32" s="18" t="s">
        <v>334</v>
      </c>
      <c r="F32" s="18">
        <v>22</v>
      </c>
      <c r="G32" s="18">
        <v>15</v>
      </c>
      <c r="H32" s="18">
        <v>0</v>
      </c>
      <c r="I32" s="18">
        <v>7</v>
      </c>
      <c r="J32" s="18">
        <v>653</v>
      </c>
      <c r="K32" s="18" t="s">
        <v>20</v>
      </c>
      <c r="L32" s="19">
        <v>601</v>
      </c>
      <c r="M32" s="18">
        <v>30</v>
      </c>
      <c r="N32" s="18" t="s">
        <v>20</v>
      </c>
      <c r="O32" s="19">
        <v>14</v>
      </c>
      <c r="P32" s="17">
        <v>7</v>
      </c>
      <c r="Q32" s="17">
        <f>INT(40000*M32/F32)+100000*(0+1000*(10-P32))</f>
        <v>300054545</v>
      </c>
      <c r="R32" s="17">
        <f t="shared" si="2"/>
        <v>7454452363</v>
      </c>
      <c r="S32" s="17">
        <f t="shared" si="0"/>
        <v>29681030</v>
      </c>
      <c r="T32" s="17">
        <f t="shared" si="3"/>
        <v>34013014</v>
      </c>
      <c r="U32" s="17">
        <f t="shared" si="4"/>
        <v>34</v>
      </c>
      <c r="V32" s="17">
        <f t="shared" si="5"/>
        <v>30</v>
      </c>
      <c r="W32" s="17" t="str">
        <f t="shared" ref="W32:W55" si="7">"LL Platz "&amp;D32&amp;" Rang "&amp;(U32-26-2*D32)</f>
        <v>LL Platz 2 Rang 4</v>
      </c>
    </row>
    <row r="33" spans="1:23" x14ac:dyDescent="0.35">
      <c r="A33" s="17"/>
      <c r="B33" s="17" t="s">
        <v>576</v>
      </c>
      <c r="C33" s="17"/>
      <c r="D33" s="18">
        <v>3</v>
      </c>
      <c r="E33" s="18" t="s">
        <v>308</v>
      </c>
      <c r="F33" s="18">
        <v>22</v>
      </c>
      <c r="G33" s="18">
        <v>14</v>
      </c>
      <c r="H33" s="18">
        <v>2</v>
      </c>
      <c r="I33" s="18">
        <v>6</v>
      </c>
      <c r="J33" s="18">
        <v>604</v>
      </c>
      <c r="K33" s="18" t="s">
        <v>20</v>
      </c>
      <c r="L33" s="19">
        <v>573</v>
      </c>
      <c r="M33" s="18">
        <v>30</v>
      </c>
      <c r="N33" s="18" t="s">
        <v>20</v>
      </c>
      <c r="O33" s="19">
        <v>14</v>
      </c>
      <c r="P33" s="17">
        <v>7</v>
      </c>
      <c r="Q33" s="17">
        <f t="shared" ref="Q33:Q55" si="8">INT(40000*M33/F33)+100000*(0+1000*(10-P33))</f>
        <v>300054545</v>
      </c>
      <c r="R33" s="17">
        <f t="shared" si="2"/>
        <v>7454451409</v>
      </c>
      <c r="S33" s="17">
        <f t="shared" si="0"/>
        <v>27454031</v>
      </c>
      <c r="T33" s="17">
        <f t="shared" si="3"/>
        <v>34014033</v>
      </c>
      <c r="U33" s="17">
        <f t="shared" si="4"/>
        <v>35</v>
      </c>
      <c r="V33" s="17">
        <f t="shared" si="5"/>
        <v>31</v>
      </c>
      <c r="W33" s="17" t="str">
        <f t="shared" si="7"/>
        <v>LL Platz 3 Rang 3</v>
      </c>
    </row>
    <row r="34" spans="1:23" x14ac:dyDescent="0.35">
      <c r="A34" s="17"/>
      <c r="B34" s="17" t="s">
        <v>576</v>
      </c>
      <c r="C34" s="17"/>
      <c r="D34" s="18">
        <v>4</v>
      </c>
      <c r="E34" s="18" t="s">
        <v>337</v>
      </c>
      <c r="F34" s="18">
        <v>22</v>
      </c>
      <c r="G34" s="18">
        <v>12</v>
      </c>
      <c r="H34" s="18">
        <v>0</v>
      </c>
      <c r="I34" s="18">
        <v>10</v>
      </c>
      <c r="J34" s="18">
        <v>613</v>
      </c>
      <c r="K34" s="18" t="s">
        <v>20</v>
      </c>
      <c r="L34" s="19">
        <v>579</v>
      </c>
      <c r="M34" s="18">
        <v>24</v>
      </c>
      <c r="N34" s="18" t="s">
        <v>20</v>
      </c>
      <c r="O34" s="19">
        <v>20</v>
      </c>
      <c r="P34" s="17">
        <v>7</v>
      </c>
      <c r="Q34" s="17">
        <f t="shared" si="8"/>
        <v>300043636</v>
      </c>
      <c r="R34" s="17">
        <f t="shared" si="2"/>
        <v>6363551545</v>
      </c>
      <c r="S34" s="17">
        <f t="shared" si="0"/>
        <v>27863032</v>
      </c>
      <c r="T34" s="17">
        <f t="shared" si="3"/>
        <v>37019030</v>
      </c>
      <c r="U34" s="17">
        <f t="shared" si="4"/>
        <v>37</v>
      </c>
      <c r="V34" s="17">
        <f t="shared" si="5"/>
        <v>32</v>
      </c>
      <c r="W34" s="17" t="str">
        <f t="shared" si="7"/>
        <v>LL Platz 4 Rang 3</v>
      </c>
    </row>
    <row r="35" spans="1:23" x14ac:dyDescent="0.35">
      <c r="A35" s="17"/>
      <c r="B35" s="17" t="s">
        <v>576</v>
      </c>
      <c r="C35" s="17"/>
      <c r="D35" s="18">
        <v>5</v>
      </c>
      <c r="E35" s="18" t="s">
        <v>335</v>
      </c>
      <c r="F35" s="18">
        <v>22</v>
      </c>
      <c r="G35" s="18">
        <v>11</v>
      </c>
      <c r="H35" s="18">
        <v>1</v>
      </c>
      <c r="I35" s="18">
        <v>10</v>
      </c>
      <c r="J35" s="115">
        <v>543</v>
      </c>
      <c r="K35" s="18" t="s">
        <v>20</v>
      </c>
      <c r="L35" s="19">
        <v>547</v>
      </c>
      <c r="M35" s="18">
        <v>23</v>
      </c>
      <c r="N35" s="18" t="s">
        <v>20</v>
      </c>
      <c r="O35" s="19">
        <v>21</v>
      </c>
      <c r="P35" s="17">
        <v>7</v>
      </c>
      <c r="Q35" s="17">
        <f t="shared" si="8"/>
        <v>300041818</v>
      </c>
      <c r="R35" s="17">
        <f t="shared" si="2"/>
        <v>6181749818</v>
      </c>
      <c r="S35" s="17">
        <f t="shared" ref="S35:S55" si="9">V35+1000*(INT(1000*J35/F35))</f>
        <v>24681033</v>
      </c>
      <c r="T35" s="17">
        <f t="shared" si="3"/>
        <v>38021048</v>
      </c>
      <c r="U35" s="17">
        <f t="shared" si="4"/>
        <v>38</v>
      </c>
      <c r="V35" s="17">
        <f t="shared" si="5"/>
        <v>33</v>
      </c>
      <c r="W35" s="17" t="str">
        <f t="shared" si="7"/>
        <v>LL Platz 5 Rang 2</v>
      </c>
    </row>
    <row r="36" spans="1:23" x14ac:dyDescent="0.35">
      <c r="A36" s="17"/>
      <c r="B36" s="17" t="s">
        <v>576</v>
      </c>
      <c r="C36" s="17"/>
      <c r="D36" s="18">
        <v>6</v>
      </c>
      <c r="E36" s="18" t="s">
        <v>292</v>
      </c>
      <c r="F36" s="18">
        <v>22</v>
      </c>
      <c r="G36" s="18">
        <v>11</v>
      </c>
      <c r="H36" s="18">
        <v>1</v>
      </c>
      <c r="I36" s="18">
        <v>10</v>
      </c>
      <c r="J36" s="18">
        <v>587</v>
      </c>
      <c r="K36" s="18" t="s">
        <v>20</v>
      </c>
      <c r="L36" s="19">
        <v>592</v>
      </c>
      <c r="M36" s="18">
        <v>23</v>
      </c>
      <c r="N36" s="18" t="s">
        <v>20</v>
      </c>
      <c r="O36" s="19">
        <v>21</v>
      </c>
      <c r="P36" s="17">
        <v>7</v>
      </c>
      <c r="Q36" s="17">
        <f t="shared" si="8"/>
        <v>300041818</v>
      </c>
      <c r="R36" s="17">
        <f t="shared" si="2"/>
        <v>6181749772</v>
      </c>
      <c r="S36" s="17">
        <f t="shared" si="9"/>
        <v>26681034</v>
      </c>
      <c r="T36" s="17">
        <f t="shared" si="3"/>
        <v>38022037</v>
      </c>
      <c r="U36" s="17">
        <f t="shared" si="4"/>
        <v>39</v>
      </c>
      <c r="V36" s="17">
        <f t="shared" si="5"/>
        <v>34</v>
      </c>
      <c r="W36" s="17" t="str">
        <f t="shared" si="7"/>
        <v>LL Platz 6 Rang 1</v>
      </c>
    </row>
    <row r="37" spans="1:23" x14ac:dyDescent="0.35">
      <c r="A37" s="17"/>
      <c r="B37" s="17" t="s">
        <v>576</v>
      </c>
      <c r="C37" s="17"/>
      <c r="D37" s="18">
        <v>7</v>
      </c>
      <c r="E37" s="18" t="s">
        <v>305</v>
      </c>
      <c r="F37" s="18">
        <v>22</v>
      </c>
      <c r="G37" s="18">
        <v>10</v>
      </c>
      <c r="H37" s="18">
        <v>2</v>
      </c>
      <c r="I37" s="18">
        <v>10</v>
      </c>
      <c r="J37" s="18">
        <v>617</v>
      </c>
      <c r="K37" s="18" t="s">
        <v>20</v>
      </c>
      <c r="L37" s="19">
        <v>583</v>
      </c>
      <c r="M37" s="18">
        <v>22</v>
      </c>
      <c r="N37" s="18" t="s">
        <v>20</v>
      </c>
      <c r="O37" s="19">
        <v>22</v>
      </c>
      <c r="P37" s="17">
        <v>7</v>
      </c>
      <c r="Q37" s="17">
        <f t="shared" si="8"/>
        <v>300040000</v>
      </c>
      <c r="R37" s="17">
        <f t="shared" si="2"/>
        <v>5999951545</v>
      </c>
      <c r="S37" s="17">
        <f t="shared" si="9"/>
        <v>28045035</v>
      </c>
      <c r="T37" s="17">
        <f t="shared" si="3"/>
        <v>41026025</v>
      </c>
      <c r="U37" s="17">
        <f t="shared" si="4"/>
        <v>41</v>
      </c>
      <c r="V37" s="17">
        <f t="shared" si="5"/>
        <v>35</v>
      </c>
      <c r="W37" s="17" t="str">
        <f t="shared" si="7"/>
        <v>LL Platz 7 Rang 1</v>
      </c>
    </row>
    <row r="38" spans="1:23" x14ac:dyDescent="0.35">
      <c r="A38" s="17"/>
      <c r="B38" s="17" t="s">
        <v>576</v>
      </c>
      <c r="C38" s="17"/>
      <c r="D38" s="18">
        <v>8</v>
      </c>
      <c r="E38" s="18" t="s">
        <v>338</v>
      </c>
      <c r="F38" s="18">
        <v>22</v>
      </c>
      <c r="G38" s="18">
        <v>9</v>
      </c>
      <c r="H38" s="18">
        <v>1</v>
      </c>
      <c r="I38" s="18">
        <v>12</v>
      </c>
      <c r="J38" s="18">
        <v>610</v>
      </c>
      <c r="K38" s="18" t="s">
        <v>20</v>
      </c>
      <c r="L38" s="19">
        <v>580</v>
      </c>
      <c r="M38" s="18">
        <v>19</v>
      </c>
      <c r="N38" s="18" t="s">
        <v>20</v>
      </c>
      <c r="O38" s="19">
        <v>25</v>
      </c>
      <c r="P38" s="17">
        <v>7</v>
      </c>
      <c r="Q38" s="17">
        <f t="shared" si="8"/>
        <v>300034545</v>
      </c>
      <c r="R38" s="17">
        <f t="shared" si="2"/>
        <v>5454451363</v>
      </c>
      <c r="S38" s="17">
        <f t="shared" si="9"/>
        <v>27727036</v>
      </c>
      <c r="T38" s="17">
        <f t="shared" si="3"/>
        <v>44032031</v>
      </c>
      <c r="U38" s="17">
        <f t="shared" si="4"/>
        <v>44</v>
      </c>
      <c r="V38" s="17">
        <f t="shared" si="5"/>
        <v>36</v>
      </c>
      <c r="W38" s="17" t="str">
        <f t="shared" si="7"/>
        <v>LL Platz 8 Rang 2</v>
      </c>
    </row>
    <row r="39" spans="1:23" x14ac:dyDescent="0.35">
      <c r="A39" s="17"/>
      <c r="B39" s="17" t="s">
        <v>576</v>
      </c>
      <c r="C39" s="17"/>
      <c r="D39" s="18">
        <v>9</v>
      </c>
      <c r="E39" s="18" t="s">
        <v>336</v>
      </c>
      <c r="F39" s="18">
        <v>22</v>
      </c>
      <c r="G39" s="18">
        <v>8</v>
      </c>
      <c r="H39" s="18">
        <v>0</v>
      </c>
      <c r="I39" s="18">
        <v>14</v>
      </c>
      <c r="J39" s="18">
        <v>565</v>
      </c>
      <c r="K39" s="18" t="s">
        <v>20</v>
      </c>
      <c r="L39" s="19">
        <v>607</v>
      </c>
      <c r="M39" s="18">
        <v>16</v>
      </c>
      <c r="N39" s="18" t="s">
        <v>20</v>
      </c>
      <c r="O39" s="19">
        <v>28</v>
      </c>
      <c r="P39" s="17">
        <v>7</v>
      </c>
      <c r="Q39" s="17">
        <f t="shared" si="8"/>
        <v>300029090</v>
      </c>
      <c r="R39" s="17">
        <f t="shared" si="2"/>
        <v>4908948090</v>
      </c>
      <c r="S39" s="17">
        <f t="shared" si="9"/>
        <v>25681037</v>
      </c>
      <c r="T39" s="17">
        <f t="shared" si="3"/>
        <v>46041045</v>
      </c>
      <c r="U39" s="17">
        <f t="shared" si="4"/>
        <v>47</v>
      </c>
      <c r="V39" s="17">
        <f t="shared" si="5"/>
        <v>37</v>
      </c>
      <c r="W39" s="17" t="str">
        <f t="shared" si="7"/>
        <v>LL Platz 9 Rang 3</v>
      </c>
    </row>
    <row r="40" spans="1:23" x14ac:dyDescent="0.35">
      <c r="A40" s="17"/>
      <c r="B40" s="17" t="s">
        <v>576</v>
      </c>
      <c r="C40" s="17"/>
      <c r="D40" s="18">
        <v>10</v>
      </c>
      <c r="E40" s="18" t="s">
        <v>339</v>
      </c>
      <c r="F40" s="18">
        <v>22</v>
      </c>
      <c r="G40" s="18">
        <v>7</v>
      </c>
      <c r="H40" s="18">
        <v>2</v>
      </c>
      <c r="I40" s="18">
        <v>13</v>
      </c>
      <c r="J40" s="18">
        <v>529</v>
      </c>
      <c r="K40" s="18" t="s">
        <v>20</v>
      </c>
      <c r="L40" s="19">
        <v>521</v>
      </c>
      <c r="M40" s="18">
        <v>16</v>
      </c>
      <c r="N40" s="18" t="s">
        <v>20</v>
      </c>
      <c r="O40" s="19">
        <v>28</v>
      </c>
      <c r="P40" s="17">
        <v>7</v>
      </c>
      <c r="Q40" s="17">
        <f t="shared" si="8"/>
        <v>300029090</v>
      </c>
      <c r="R40" s="17">
        <f t="shared" si="2"/>
        <v>4908950363</v>
      </c>
      <c r="S40" s="17">
        <f t="shared" si="9"/>
        <v>24045038</v>
      </c>
      <c r="T40" s="17">
        <f t="shared" si="3"/>
        <v>46040050</v>
      </c>
      <c r="U40" s="17">
        <f t="shared" si="4"/>
        <v>46</v>
      </c>
      <c r="V40" s="17">
        <f t="shared" si="5"/>
        <v>38</v>
      </c>
      <c r="W40" s="17" t="str">
        <f t="shared" si="7"/>
        <v>LL Platz 10 Rang 0</v>
      </c>
    </row>
    <row r="41" spans="1:23" x14ac:dyDescent="0.35">
      <c r="A41" s="17"/>
      <c r="B41" s="17" t="s">
        <v>576</v>
      </c>
      <c r="C41" s="17"/>
      <c r="D41" s="18">
        <v>11</v>
      </c>
      <c r="E41" s="18" t="s">
        <v>303</v>
      </c>
      <c r="F41" s="18">
        <v>22</v>
      </c>
      <c r="G41" s="18">
        <v>7</v>
      </c>
      <c r="H41" s="18">
        <v>0</v>
      </c>
      <c r="I41" s="18">
        <v>15</v>
      </c>
      <c r="J41" s="18">
        <v>521</v>
      </c>
      <c r="K41" s="18" t="s">
        <v>20</v>
      </c>
      <c r="L41" s="19">
        <v>611</v>
      </c>
      <c r="M41" s="18">
        <v>14</v>
      </c>
      <c r="N41" s="18" t="s">
        <v>20</v>
      </c>
      <c r="O41" s="19">
        <v>30</v>
      </c>
      <c r="P41" s="17">
        <v>7</v>
      </c>
      <c r="Q41" s="17">
        <f t="shared" si="8"/>
        <v>300025454</v>
      </c>
      <c r="R41" s="17">
        <f t="shared" si="2"/>
        <v>4545345909</v>
      </c>
      <c r="S41" s="17">
        <f t="shared" si="9"/>
        <v>23681039</v>
      </c>
      <c r="T41" s="17">
        <f t="shared" si="3"/>
        <v>50044051</v>
      </c>
      <c r="U41" s="17">
        <f t="shared" si="4"/>
        <v>50</v>
      </c>
      <c r="V41" s="17">
        <f t="shared" si="5"/>
        <v>39</v>
      </c>
      <c r="W41" s="17" t="str">
        <f t="shared" si="7"/>
        <v>LL Platz 11 Rang 2</v>
      </c>
    </row>
    <row r="42" spans="1:23" x14ac:dyDescent="0.35">
      <c r="A42" s="17"/>
      <c r="B42" s="17" t="s">
        <v>576</v>
      </c>
      <c r="C42" s="17"/>
      <c r="D42" s="18">
        <v>12</v>
      </c>
      <c r="E42" s="18" t="s">
        <v>306</v>
      </c>
      <c r="F42" s="18">
        <v>22</v>
      </c>
      <c r="G42" s="18">
        <v>6</v>
      </c>
      <c r="H42" s="18">
        <v>1</v>
      </c>
      <c r="I42" s="18">
        <v>15</v>
      </c>
      <c r="J42" s="18">
        <v>550</v>
      </c>
      <c r="K42" s="18" t="s">
        <v>20</v>
      </c>
      <c r="L42" s="19">
        <v>653</v>
      </c>
      <c r="M42" s="18">
        <v>11</v>
      </c>
      <c r="N42" s="18" t="s">
        <v>20</v>
      </c>
      <c r="O42" s="19">
        <v>31</v>
      </c>
      <c r="P42" s="17">
        <v>7</v>
      </c>
      <c r="Q42" s="17">
        <f t="shared" si="8"/>
        <v>300020000</v>
      </c>
      <c r="R42" s="17">
        <f t="shared" si="2"/>
        <v>4363545318</v>
      </c>
      <c r="S42" s="17">
        <f t="shared" si="9"/>
        <v>25000040</v>
      </c>
      <c r="T42" s="17">
        <f t="shared" si="3"/>
        <v>52046047</v>
      </c>
      <c r="U42" s="17">
        <f t="shared" si="4"/>
        <v>52</v>
      </c>
      <c r="V42" s="17">
        <f t="shared" si="5"/>
        <v>40</v>
      </c>
      <c r="W42" s="17" t="str">
        <f t="shared" si="7"/>
        <v>LL Platz 12 Rang 2</v>
      </c>
    </row>
    <row r="43" spans="1:23" x14ac:dyDescent="0.35">
      <c r="A43" s="17"/>
      <c r="B43" s="17"/>
      <c r="C43" s="16" t="s">
        <v>538</v>
      </c>
      <c r="D43" s="18">
        <v>1</v>
      </c>
      <c r="E43" s="18" t="s">
        <v>342</v>
      </c>
      <c r="F43" s="18">
        <v>24</v>
      </c>
      <c r="G43" s="18">
        <v>16</v>
      </c>
      <c r="H43" s="18">
        <v>3</v>
      </c>
      <c r="I43" s="18">
        <v>5</v>
      </c>
      <c r="J43" s="18">
        <v>736</v>
      </c>
      <c r="K43" s="18" t="s">
        <v>20</v>
      </c>
      <c r="L43" s="19">
        <v>629</v>
      </c>
      <c r="M43" s="18">
        <v>35</v>
      </c>
      <c r="N43" s="18" t="s">
        <v>20</v>
      </c>
      <c r="O43" s="19">
        <v>13</v>
      </c>
      <c r="P43" s="17">
        <v>7</v>
      </c>
      <c r="Q43" s="17">
        <f t="shared" si="1"/>
        <v>309858333</v>
      </c>
      <c r="R43" s="17">
        <f t="shared" si="2"/>
        <v>7833254458</v>
      </c>
      <c r="S43" s="17">
        <f t="shared" si="9"/>
        <v>30666041</v>
      </c>
      <c r="T43" s="17">
        <f t="shared" si="3"/>
        <v>30007002</v>
      </c>
      <c r="U43" s="17">
        <f t="shared" si="4"/>
        <v>30</v>
      </c>
      <c r="V43" s="17">
        <f t="shared" si="5"/>
        <v>41</v>
      </c>
      <c r="W43" s="17" t="str">
        <f t="shared" si="7"/>
        <v>LL Platz 1 Rang 2</v>
      </c>
    </row>
    <row r="44" spans="1:23" x14ac:dyDescent="0.35">
      <c r="A44" s="17"/>
      <c r="B44" s="17" t="s">
        <v>577</v>
      </c>
      <c r="C44" s="17"/>
      <c r="D44" s="18">
        <v>2</v>
      </c>
      <c r="E44" s="18" t="s">
        <v>286</v>
      </c>
      <c r="F44" s="18">
        <v>24</v>
      </c>
      <c r="G44" s="18">
        <v>16</v>
      </c>
      <c r="H44" s="18">
        <v>3</v>
      </c>
      <c r="I44" s="18">
        <v>5</v>
      </c>
      <c r="J44" s="18">
        <v>734</v>
      </c>
      <c r="K44" s="18" t="s">
        <v>20</v>
      </c>
      <c r="L44" s="19">
        <v>651</v>
      </c>
      <c r="M44" s="18">
        <v>35</v>
      </c>
      <c r="N44" s="18" t="s">
        <v>20</v>
      </c>
      <c r="O44" s="19">
        <v>13</v>
      </c>
      <c r="P44" s="17">
        <v>7</v>
      </c>
      <c r="Q44" s="17">
        <f t="shared" si="8"/>
        <v>300058333</v>
      </c>
      <c r="R44" s="17">
        <f t="shared" si="2"/>
        <v>7833253458</v>
      </c>
      <c r="S44" s="17">
        <f t="shared" si="9"/>
        <v>30583042</v>
      </c>
      <c r="T44" s="17">
        <f t="shared" si="3"/>
        <v>31008003</v>
      </c>
      <c r="U44" s="17">
        <f t="shared" si="4"/>
        <v>31</v>
      </c>
      <c r="V44" s="17">
        <f t="shared" si="5"/>
        <v>42</v>
      </c>
      <c r="W44" s="17" t="str">
        <f t="shared" si="7"/>
        <v>LL Platz 2 Rang 1</v>
      </c>
    </row>
    <row r="45" spans="1:23" x14ac:dyDescent="0.35">
      <c r="A45" s="17"/>
      <c r="B45" s="17" t="s">
        <v>577</v>
      </c>
      <c r="C45" s="17"/>
      <c r="D45" s="18">
        <v>3</v>
      </c>
      <c r="E45" s="18" t="s">
        <v>340</v>
      </c>
      <c r="F45" s="18">
        <v>24</v>
      </c>
      <c r="G45" s="18">
        <v>17</v>
      </c>
      <c r="H45" s="18">
        <v>1</v>
      </c>
      <c r="I45" s="18">
        <v>6</v>
      </c>
      <c r="J45" s="18">
        <v>670</v>
      </c>
      <c r="K45" s="18" t="s">
        <v>20</v>
      </c>
      <c r="L45" s="19">
        <v>609</v>
      </c>
      <c r="M45" s="18">
        <v>35</v>
      </c>
      <c r="N45" s="18" t="s">
        <v>20</v>
      </c>
      <c r="O45" s="19">
        <v>13</v>
      </c>
      <c r="P45" s="17">
        <v>7</v>
      </c>
      <c r="Q45" s="17">
        <f t="shared" si="8"/>
        <v>300058333</v>
      </c>
      <c r="R45" s="17">
        <f t="shared" si="2"/>
        <v>7833252541</v>
      </c>
      <c r="S45" s="17">
        <f t="shared" si="9"/>
        <v>27916043</v>
      </c>
      <c r="T45" s="17">
        <f t="shared" si="3"/>
        <v>31009029</v>
      </c>
      <c r="U45" s="17">
        <f t="shared" si="4"/>
        <v>32</v>
      </c>
      <c r="V45" s="17">
        <f t="shared" si="5"/>
        <v>43</v>
      </c>
      <c r="W45" s="17" t="str">
        <f t="shared" si="7"/>
        <v>LL Platz 3 Rang 0</v>
      </c>
    </row>
    <row r="46" spans="1:23" x14ac:dyDescent="0.35">
      <c r="A46" s="17"/>
      <c r="B46" s="17" t="s">
        <v>577</v>
      </c>
      <c r="C46" s="17"/>
      <c r="D46" s="18">
        <v>4</v>
      </c>
      <c r="E46" s="18" t="s">
        <v>341</v>
      </c>
      <c r="F46" s="18">
        <v>24</v>
      </c>
      <c r="G46" s="18">
        <v>16</v>
      </c>
      <c r="H46" s="18">
        <v>1</v>
      </c>
      <c r="I46" s="18">
        <v>7</v>
      </c>
      <c r="J46" s="18">
        <v>723</v>
      </c>
      <c r="K46" s="18" t="s">
        <v>20</v>
      </c>
      <c r="L46" s="19">
        <v>641</v>
      </c>
      <c r="M46" s="18">
        <v>33</v>
      </c>
      <c r="N46" s="18" t="s">
        <v>20</v>
      </c>
      <c r="O46" s="19">
        <v>15</v>
      </c>
      <c r="P46" s="17">
        <v>7</v>
      </c>
      <c r="Q46" s="17">
        <f t="shared" si="8"/>
        <v>300055000</v>
      </c>
      <c r="R46" s="17">
        <f t="shared" si="2"/>
        <v>7499953416</v>
      </c>
      <c r="S46" s="17">
        <f t="shared" si="9"/>
        <v>30125044</v>
      </c>
      <c r="T46" s="17">
        <f t="shared" si="3"/>
        <v>33012011</v>
      </c>
      <c r="U46" s="17">
        <f t="shared" si="4"/>
        <v>33</v>
      </c>
      <c r="V46" s="17">
        <f t="shared" si="5"/>
        <v>44</v>
      </c>
      <c r="W46" s="17" t="str">
        <f t="shared" si="7"/>
        <v>LL Platz 4 Rang -1</v>
      </c>
    </row>
    <row r="47" spans="1:23" x14ac:dyDescent="0.35">
      <c r="A47" s="17"/>
      <c r="B47" s="17" t="s">
        <v>577</v>
      </c>
      <c r="C47" s="17"/>
      <c r="D47" s="18">
        <v>5</v>
      </c>
      <c r="E47" s="18" t="s">
        <v>343</v>
      </c>
      <c r="F47" s="18">
        <v>24</v>
      </c>
      <c r="G47" s="18">
        <v>12</v>
      </c>
      <c r="H47" s="18">
        <v>4</v>
      </c>
      <c r="I47" s="18">
        <v>8</v>
      </c>
      <c r="J47" s="18">
        <v>712</v>
      </c>
      <c r="K47" s="18" t="s">
        <v>20</v>
      </c>
      <c r="L47" s="19">
        <v>674</v>
      </c>
      <c r="M47" s="18">
        <v>28</v>
      </c>
      <c r="N47" s="18" t="s">
        <v>20</v>
      </c>
      <c r="O47" s="19">
        <v>20</v>
      </c>
      <c r="P47" s="17">
        <v>7</v>
      </c>
      <c r="Q47" s="17">
        <f t="shared" si="8"/>
        <v>300046666</v>
      </c>
      <c r="R47" s="17">
        <f t="shared" si="2"/>
        <v>6666551583</v>
      </c>
      <c r="S47" s="17">
        <f t="shared" si="9"/>
        <v>29666045</v>
      </c>
      <c r="T47" s="17">
        <f t="shared" si="3"/>
        <v>36016015</v>
      </c>
      <c r="U47" s="17">
        <f t="shared" si="4"/>
        <v>36</v>
      </c>
      <c r="V47" s="17">
        <f t="shared" si="5"/>
        <v>45</v>
      </c>
      <c r="W47" s="17" t="str">
        <f t="shared" si="7"/>
        <v>LL Platz 5 Rang 0</v>
      </c>
    </row>
    <row r="48" spans="1:23" x14ac:dyDescent="0.35">
      <c r="A48" s="17"/>
      <c r="B48" s="17" t="s">
        <v>577</v>
      </c>
      <c r="C48" s="17"/>
      <c r="D48" s="18">
        <v>6</v>
      </c>
      <c r="E48" s="18" t="s">
        <v>345</v>
      </c>
      <c r="F48" s="18">
        <v>24</v>
      </c>
      <c r="G48" s="18">
        <v>11</v>
      </c>
      <c r="H48" s="18">
        <v>3</v>
      </c>
      <c r="I48" s="18">
        <v>10</v>
      </c>
      <c r="J48" s="18">
        <v>727</v>
      </c>
      <c r="K48" s="18" t="s">
        <v>20</v>
      </c>
      <c r="L48" s="19">
        <v>732</v>
      </c>
      <c r="M48" s="18">
        <v>25</v>
      </c>
      <c r="N48" s="18" t="s">
        <v>20</v>
      </c>
      <c r="O48" s="19">
        <v>23</v>
      </c>
      <c r="P48" s="17">
        <v>7</v>
      </c>
      <c r="Q48" s="17">
        <f t="shared" si="8"/>
        <v>300041666</v>
      </c>
      <c r="R48" s="17">
        <f t="shared" si="2"/>
        <v>6166549791</v>
      </c>
      <c r="S48" s="17">
        <f t="shared" si="9"/>
        <v>30291046</v>
      </c>
      <c r="T48" s="17">
        <f t="shared" si="3"/>
        <v>40023006</v>
      </c>
      <c r="U48" s="17">
        <f t="shared" si="4"/>
        <v>40</v>
      </c>
      <c r="V48" s="17">
        <f t="shared" si="5"/>
        <v>46</v>
      </c>
      <c r="W48" s="17" t="str">
        <f t="shared" si="7"/>
        <v>LL Platz 6 Rang 2</v>
      </c>
    </row>
    <row r="49" spans="1:23" x14ac:dyDescent="0.35">
      <c r="A49" s="17"/>
      <c r="B49" s="17" t="s">
        <v>577</v>
      </c>
      <c r="C49" s="17"/>
      <c r="D49" s="18">
        <v>7</v>
      </c>
      <c r="E49" s="18" t="s">
        <v>347</v>
      </c>
      <c r="F49" s="18">
        <v>24</v>
      </c>
      <c r="G49" s="18">
        <v>11</v>
      </c>
      <c r="H49" s="18">
        <v>1</v>
      </c>
      <c r="I49" s="18">
        <v>12</v>
      </c>
      <c r="J49" s="18">
        <v>584</v>
      </c>
      <c r="K49" s="18" t="s">
        <v>20</v>
      </c>
      <c r="L49" s="19">
        <v>618</v>
      </c>
      <c r="M49" s="18">
        <v>23</v>
      </c>
      <c r="N49" s="18" t="s">
        <v>20</v>
      </c>
      <c r="O49" s="19">
        <v>25</v>
      </c>
      <c r="P49" s="17">
        <v>7</v>
      </c>
      <c r="Q49" s="17">
        <f t="shared" si="8"/>
        <v>300038333</v>
      </c>
      <c r="R49" s="17">
        <f t="shared" si="2"/>
        <v>5833248583</v>
      </c>
      <c r="S49" s="17">
        <f t="shared" si="9"/>
        <v>24333047</v>
      </c>
      <c r="T49" s="17">
        <f t="shared" si="3"/>
        <v>42029049</v>
      </c>
      <c r="U49" s="17">
        <f t="shared" si="4"/>
        <v>42</v>
      </c>
      <c r="V49" s="17">
        <f t="shared" si="5"/>
        <v>47</v>
      </c>
      <c r="W49" s="17" t="str">
        <f t="shared" si="7"/>
        <v>LL Platz 7 Rang 2</v>
      </c>
    </row>
    <row r="50" spans="1:23" x14ac:dyDescent="0.35">
      <c r="A50" s="17"/>
      <c r="B50" s="17" t="s">
        <v>577</v>
      </c>
      <c r="C50" s="17"/>
      <c r="D50" s="18">
        <v>8</v>
      </c>
      <c r="E50" s="18" t="s">
        <v>344</v>
      </c>
      <c r="F50" s="18">
        <v>24</v>
      </c>
      <c r="G50" s="18">
        <v>10</v>
      </c>
      <c r="H50" s="18">
        <v>2</v>
      </c>
      <c r="I50" s="18">
        <v>12</v>
      </c>
      <c r="J50" s="18">
        <v>656</v>
      </c>
      <c r="K50" s="18" t="s">
        <v>20</v>
      </c>
      <c r="L50" s="19">
        <v>663</v>
      </c>
      <c r="M50" s="18">
        <v>22</v>
      </c>
      <c r="N50" s="18" t="s">
        <v>20</v>
      </c>
      <c r="O50" s="19">
        <v>26</v>
      </c>
      <c r="P50" s="17">
        <v>7</v>
      </c>
      <c r="Q50" s="17">
        <f t="shared" si="8"/>
        <v>300036666</v>
      </c>
      <c r="R50" s="17">
        <f t="shared" si="2"/>
        <v>5666549708</v>
      </c>
      <c r="S50" s="17">
        <f t="shared" si="9"/>
        <v>27333048</v>
      </c>
      <c r="T50" s="17">
        <f t="shared" si="3"/>
        <v>43031035</v>
      </c>
      <c r="U50" s="17">
        <f t="shared" si="4"/>
        <v>43</v>
      </c>
      <c r="V50" s="17">
        <f t="shared" si="5"/>
        <v>48</v>
      </c>
      <c r="W50" s="17" t="str">
        <f t="shared" si="7"/>
        <v>LL Platz 8 Rang 1</v>
      </c>
    </row>
    <row r="51" spans="1:23" x14ac:dyDescent="0.35">
      <c r="A51" s="17"/>
      <c r="B51" s="17" t="s">
        <v>577</v>
      </c>
      <c r="C51" s="17"/>
      <c r="D51" s="18">
        <v>9</v>
      </c>
      <c r="E51" s="18" t="s">
        <v>315</v>
      </c>
      <c r="F51" s="18">
        <v>24</v>
      </c>
      <c r="G51" s="18">
        <v>8</v>
      </c>
      <c r="H51" s="18">
        <v>2</v>
      </c>
      <c r="I51" s="18">
        <v>14</v>
      </c>
      <c r="J51" s="18">
        <v>636</v>
      </c>
      <c r="K51" s="18" t="s">
        <v>20</v>
      </c>
      <c r="L51" s="19">
        <v>655</v>
      </c>
      <c r="M51" s="18">
        <v>18</v>
      </c>
      <c r="N51" s="18" t="s">
        <v>20</v>
      </c>
      <c r="O51" s="19">
        <v>30</v>
      </c>
      <c r="P51" s="17">
        <v>7</v>
      </c>
      <c r="Q51" s="17">
        <f t="shared" si="8"/>
        <v>300030000</v>
      </c>
      <c r="R51" s="17">
        <f t="shared" si="2"/>
        <v>4999949208</v>
      </c>
      <c r="S51" s="17">
        <f t="shared" si="9"/>
        <v>26500049</v>
      </c>
      <c r="T51" s="17">
        <f t="shared" si="3"/>
        <v>45039039</v>
      </c>
      <c r="U51" s="17">
        <f t="shared" si="4"/>
        <v>45</v>
      </c>
      <c r="V51" s="17">
        <f t="shared" si="5"/>
        <v>49</v>
      </c>
      <c r="W51" s="17" t="str">
        <f t="shared" si="7"/>
        <v>LL Platz 9 Rang 1</v>
      </c>
    </row>
    <row r="52" spans="1:23" x14ac:dyDescent="0.35">
      <c r="A52" s="17"/>
      <c r="B52" s="17" t="s">
        <v>577</v>
      </c>
      <c r="C52" s="17"/>
      <c r="D52" s="18">
        <v>10</v>
      </c>
      <c r="E52" s="18" t="s">
        <v>346</v>
      </c>
      <c r="F52" s="18">
        <v>24</v>
      </c>
      <c r="G52" s="18">
        <v>8</v>
      </c>
      <c r="H52" s="18">
        <v>3</v>
      </c>
      <c r="I52" s="18">
        <v>13</v>
      </c>
      <c r="J52" s="18">
        <v>661</v>
      </c>
      <c r="K52" s="18" t="s">
        <v>20</v>
      </c>
      <c r="L52" s="19">
        <v>713</v>
      </c>
      <c r="M52" s="18">
        <v>17</v>
      </c>
      <c r="N52" s="18" t="s">
        <v>20</v>
      </c>
      <c r="O52" s="19">
        <v>29</v>
      </c>
      <c r="P52" s="17">
        <v>7</v>
      </c>
      <c r="Q52" s="17">
        <f t="shared" si="8"/>
        <v>300028333</v>
      </c>
      <c r="R52" s="17">
        <f t="shared" si="2"/>
        <v>5166547833</v>
      </c>
      <c r="S52" s="17">
        <f t="shared" si="9"/>
        <v>27541050</v>
      </c>
      <c r="T52" s="17">
        <f t="shared" si="3"/>
        <v>48037032</v>
      </c>
      <c r="U52" s="17">
        <f t="shared" si="4"/>
        <v>48</v>
      </c>
      <c r="V52" s="17">
        <f t="shared" si="5"/>
        <v>50</v>
      </c>
      <c r="W52" s="17" t="str">
        <f t="shared" si="7"/>
        <v>LL Platz 10 Rang 2</v>
      </c>
    </row>
    <row r="53" spans="1:23" x14ac:dyDescent="0.35">
      <c r="A53" s="17"/>
      <c r="B53" s="17" t="s">
        <v>577</v>
      </c>
      <c r="C53" s="17"/>
      <c r="D53" s="18">
        <v>11</v>
      </c>
      <c r="E53" s="18" t="s">
        <v>291</v>
      </c>
      <c r="F53" s="18">
        <v>24</v>
      </c>
      <c r="G53" s="18">
        <v>8</v>
      </c>
      <c r="H53" s="18">
        <v>1</v>
      </c>
      <c r="I53" s="18">
        <v>15</v>
      </c>
      <c r="J53" s="18">
        <v>707</v>
      </c>
      <c r="K53" s="18" t="s">
        <v>20</v>
      </c>
      <c r="L53" s="19">
        <v>741</v>
      </c>
      <c r="M53" s="18">
        <v>17</v>
      </c>
      <c r="N53" s="18" t="s">
        <v>20</v>
      </c>
      <c r="O53" s="19">
        <v>31</v>
      </c>
      <c r="P53" s="17">
        <v>7</v>
      </c>
      <c r="Q53" s="17">
        <f t="shared" si="8"/>
        <v>300028333</v>
      </c>
      <c r="R53" s="17">
        <f t="shared" si="2"/>
        <v>4833248583</v>
      </c>
      <c r="S53" s="17">
        <f t="shared" si="9"/>
        <v>29458051</v>
      </c>
      <c r="T53" s="17">
        <f t="shared" si="3"/>
        <v>48042016</v>
      </c>
      <c r="U53" s="17">
        <f t="shared" si="4"/>
        <v>49</v>
      </c>
      <c r="V53" s="17">
        <f t="shared" si="5"/>
        <v>51</v>
      </c>
      <c r="W53" s="17" t="str">
        <f t="shared" si="7"/>
        <v>LL Platz 11 Rang 1</v>
      </c>
    </row>
    <row r="54" spans="1:23" x14ac:dyDescent="0.35">
      <c r="A54" s="17"/>
      <c r="B54" s="17" t="s">
        <v>577</v>
      </c>
      <c r="C54" s="17"/>
      <c r="D54" s="18">
        <v>12</v>
      </c>
      <c r="E54" s="18" t="s">
        <v>314</v>
      </c>
      <c r="F54" s="18">
        <v>24</v>
      </c>
      <c r="G54" s="18">
        <v>7</v>
      </c>
      <c r="H54" s="18">
        <v>1</v>
      </c>
      <c r="I54" s="18">
        <v>16</v>
      </c>
      <c r="J54" s="18">
        <v>634</v>
      </c>
      <c r="K54" s="18" t="s">
        <v>20</v>
      </c>
      <c r="L54" s="19">
        <v>710</v>
      </c>
      <c r="M54" s="18">
        <v>14</v>
      </c>
      <c r="N54" s="18" t="s">
        <v>20</v>
      </c>
      <c r="O54" s="19">
        <v>33</v>
      </c>
      <c r="P54" s="17">
        <v>7</v>
      </c>
      <c r="Q54" s="17">
        <f t="shared" si="8"/>
        <v>300023333</v>
      </c>
      <c r="R54" s="17">
        <f t="shared" si="2"/>
        <v>4499946833</v>
      </c>
      <c r="S54" s="17">
        <f t="shared" si="9"/>
        <v>26416052</v>
      </c>
      <c r="T54" s="17">
        <f t="shared" si="3"/>
        <v>51045041</v>
      </c>
      <c r="U54" s="17">
        <f t="shared" si="4"/>
        <v>51</v>
      </c>
      <c r="V54" s="17">
        <f t="shared" si="5"/>
        <v>52</v>
      </c>
      <c r="W54" s="17" t="str">
        <f t="shared" si="7"/>
        <v>LL Platz 12 Rang 1</v>
      </c>
    </row>
    <row r="55" spans="1:23" x14ac:dyDescent="0.35">
      <c r="A55" s="17"/>
      <c r="B55" s="17" t="s">
        <v>577</v>
      </c>
      <c r="C55" s="17"/>
      <c r="D55" s="18">
        <v>13</v>
      </c>
      <c r="E55" s="18" t="s">
        <v>283</v>
      </c>
      <c r="F55" s="18">
        <v>24</v>
      </c>
      <c r="G55" s="18">
        <v>3</v>
      </c>
      <c r="H55" s="18">
        <v>1</v>
      </c>
      <c r="I55" s="18">
        <v>20</v>
      </c>
      <c r="J55" s="18">
        <v>652</v>
      </c>
      <c r="K55" s="18" t="s">
        <v>20</v>
      </c>
      <c r="L55" s="19">
        <v>796</v>
      </c>
      <c r="M55" s="18">
        <v>7</v>
      </c>
      <c r="N55" s="18" t="s">
        <v>20</v>
      </c>
      <c r="O55" s="19">
        <v>41</v>
      </c>
      <c r="P55" s="17">
        <v>7</v>
      </c>
      <c r="Q55" s="17">
        <f t="shared" si="8"/>
        <v>300011666</v>
      </c>
      <c r="R55" s="17">
        <f t="shared" si="2"/>
        <v>3166544000</v>
      </c>
      <c r="S55" s="17">
        <f t="shared" si="9"/>
        <v>27166053</v>
      </c>
      <c r="T55" s="17">
        <f t="shared" si="3"/>
        <v>53053036</v>
      </c>
      <c r="U55" s="17">
        <f t="shared" si="4"/>
        <v>53</v>
      </c>
      <c r="V55" s="17">
        <f t="shared" si="5"/>
        <v>53</v>
      </c>
      <c r="W55" s="17" t="str">
        <f t="shared" si="7"/>
        <v>LL Platz 13 Rang 1</v>
      </c>
    </row>
    <row r="56" spans="1:23" x14ac:dyDescent="0.35">
      <c r="A56" s="17"/>
      <c r="B56" s="17"/>
      <c r="C56" s="17"/>
      <c r="D56" s="18" t="s">
        <v>540</v>
      </c>
      <c r="E56" s="18" t="s">
        <v>540</v>
      </c>
      <c r="F56" s="18" t="s">
        <v>540</v>
      </c>
      <c r="G56" s="18" t="s">
        <v>540</v>
      </c>
      <c r="H56" s="18" t="s">
        <v>540</v>
      </c>
      <c r="I56" s="18" t="s">
        <v>540</v>
      </c>
      <c r="J56" s="18" t="s">
        <v>540</v>
      </c>
      <c r="K56" s="18" t="s">
        <v>540</v>
      </c>
      <c r="L56" s="19" t="s">
        <v>540</v>
      </c>
      <c r="M56" s="18" t="s">
        <v>540</v>
      </c>
      <c r="N56" s="18" t="s">
        <v>540</v>
      </c>
      <c r="O56" s="19" t="s">
        <v>540</v>
      </c>
      <c r="P56" s="17"/>
      <c r="Q56" s="17"/>
      <c r="R56" s="17"/>
      <c r="S56" s="17"/>
      <c r="T56" s="17"/>
      <c r="U56" s="17"/>
      <c r="V56" s="17"/>
      <c r="W56" s="17"/>
    </row>
    <row r="57" spans="1:23" x14ac:dyDescent="0.35">
      <c r="A57" s="17"/>
      <c r="B57" s="17"/>
      <c r="C57" s="17"/>
      <c r="D57" s="18" t="s">
        <v>540</v>
      </c>
      <c r="E57" s="18" t="s">
        <v>540</v>
      </c>
      <c r="F57" s="18" t="s">
        <v>540</v>
      </c>
      <c r="G57" s="18" t="s">
        <v>540</v>
      </c>
      <c r="H57" s="18" t="s">
        <v>540</v>
      </c>
      <c r="I57" s="18" t="s">
        <v>540</v>
      </c>
      <c r="J57" s="18" t="s">
        <v>540</v>
      </c>
      <c r="K57" s="18" t="s">
        <v>540</v>
      </c>
      <c r="L57" s="19" t="s">
        <v>540</v>
      </c>
      <c r="M57" s="18" t="s">
        <v>540</v>
      </c>
      <c r="N57" s="18" t="s">
        <v>540</v>
      </c>
      <c r="O57" s="19" t="s">
        <v>540</v>
      </c>
      <c r="P57" s="15" t="s">
        <v>198</v>
      </c>
      <c r="Q57" s="15" t="s">
        <v>199</v>
      </c>
      <c r="R57" s="15" t="s">
        <v>563</v>
      </c>
      <c r="S57" s="15" t="s">
        <v>201</v>
      </c>
      <c r="T57" s="15" t="s">
        <v>505</v>
      </c>
      <c r="U57" s="15" t="s">
        <v>203</v>
      </c>
      <c r="V57" s="15" t="s">
        <v>200</v>
      </c>
      <c r="W57" s="15" t="s">
        <v>521</v>
      </c>
    </row>
    <row r="58" spans="1:23" x14ac:dyDescent="0.35">
      <c r="A58" s="17"/>
      <c r="B58" s="16" t="s">
        <v>434</v>
      </c>
      <c r="C58" s="14" t="s">
        <v>414</v>
      </c>
      <c r="D58" s="18">
        <v>1</v>
      </c>
      <c r="E58" s="18" t="s">
        <v>279</v>
      </c>
      <c r="F58" s="18">
        <v>22</v>
      </c>
      <c r="G58" s="18">
        <v>15</v>
      </c>
      <c r="H58" s="18">
        <v>4</v>
      </c>
      <c r="I58" s="18">
        <v>3</v>
      </c>
      <c r="J58" s="18">
        <v>610</v>
      </c>
      <c r="K58" s="18" t="s">
        <v>20</v>
      </c>
      <c r="L58" s="19">
        <v>505</v>
      </c>
      <c r="M58" s="18">
        <v>34</v>
      </c>
      <c r="N58" s="18" t="s">
        <v>20</v>
      </c>
      <c r="O58" s="19">
        <v>10</v>
      </c>
      <c r="P58" s="17">
        <v>5</v>
      </c>
      <c r="Q58" s="17">
        <f>INT(40000*M58/F58)+100000*(99-D58+1000*(10-P58))</f>
        <v>509861818</v>
      </c>
      <c r="R58" s="17">
        <f t="shared" ref="R58:R101" si="10">100000*INT(99999-40000*O58/F58)+INT(1000*((J58-L58)/F58+50))</f>
        <v>8181754772</v>
      </c>
      <c r="S58" s="17">
        <f t="shared" ref="S58:S101" si="11">V58+1000*(INT(1000*J58/F58))</f>
        <v>27727001</v>
      </c>
      <c r="T58" s="17">
        <f t="shared" ref="T58:T101" si="12">RANK(S58,S$58:S$101)+1000*RANK(R58,R$58:R$101)+1000000*RANK(Q58,Q$58:Q$101)</f>
        <v>1008016</v>
      </c>
      <c r="U58" s="17">
        <f t="shared" ref="U58:U101" si="13">RANK(T58,T$58:T$101,1)</f>
        <v>1</v>
      </c>
      <c r="V58" s="17">
        <v>1</v>
      </c>
      <c r="W58" s="17"/>
    </row>
    <row r="59" spans="1:23" x14ac:dyDescent="0.35">
      <c r="A59" s="17"/>
      <c r="B59" s="17"/>
      <c r="C59" s="14"/>
      <c r="D59" s="18">
        <v>2</v>
      </c>
      <c r="E59" s="18" t="s">
        <v>278</v>
      </c>
      <c r="F59" s="18">
        <v>22</v>
      </c>
      <c r="G59" s="18">
        <v>16</v>
      </c>
      <c r="H59" s="18">
        <v>1</v>
      </c>
      <c r="I59" s="18">
        <v>5</v>
      </c>
      <c r="J59" s="18">
        <v>665</v>
      </c>
      <c r="K59" s="18" t="s">
        <v>20</v>
      </c>
      <c r="L59" s="19">
        <v>559</v>
      </c>
      <c r="M59" s="18">
        <v>33</v>
      </c>
      <c r="N59" s="18" t="s">
        <v>20</v>
      </c>
      <c r="O59" s="19">
        <v>11</v>
      </c>
      <c r="P59" s="17">
        <v>5</v>
      </c>
      <c r="Q59" s="17">
        <f t="shared" ref="Q59:Q92" si="14">INT(40000*M59/F59)+100000*(99-D59+1000*(10-P59))</f>
        <v>509760000</v>
      </c>
      <c r="R59" s="17">
        <f t="shared" si="10"/>
        <v>7999954818</v>
      </c>
      <c r="S59" s="17">
        <f t="shared" si="11"/>
        <v>30227002</v>
      </c>
      <c r="T59" s="17">
        <f t="shared" si="12"/>
        <v>2009006</v>
      </c>
      <c r="U59" s="17">
        <f t="shared" si="13"/>
        <v>2</v>
      </c>
      <c r="V59" s="17">
        <f>+V58+1</f>
        <v>2</v>
      </c>
      <c r="W59" s="17"/>
    </row>
    <row r="60" spans="1:23" x14ac:dyDescent="0.35">
      <c r="A60" s="17"/>
      <c r="B60" s="17"/>
      <c r="C60" s="14"/>
      <c r="D60" s="18">
        <v>3</v>
      </c>
      <c r="E60" s="18" t="s">
        <v>281</v>
      </c>
      <c r="F60" s="18">
        <v>22</v>
      </c>
      <c r="G60" s="18">
        <v>17</v>
      </c>
      <c r="H60" s="18">
        <v>2</v>
      </c>
      <c r="I60" s="18">
        <v>3</v>
      </c>
      <c r="J60" s="18">
        <v>614</v>
      </c>
      <c r="K60" s="18" t="s">
        <v>20</v>
      </c>
      <c r="L60" s="19">
        <v>504</v>
      </c>
      <c r="M60" s="18">
        <v>31</v>
      </c>
      <c r="N60" s="18" t="s">
        <v>20</v>
      </c>
      <c r="O60" s="19">
        <v>8</v>
      </c>
      <c r="P60" s="17">
        <v>5</v>
      </c>
      <c r="Q60" s="17">
        <f t="shared" si="14"/>
        <v>509656363</v>
      </c>
      <c r="R60" s="17">
        <f t="shared" si="10"/>
        <v>8545355000</v>
      </c>
      <c r="S60" s="17">
        <f t="shared" si="11"/>
        <v>27909003</v>
      </c>
      <c r="T60" s="17">
        <f t="shared" si="12"/>
        <v>3004015</v>
      </c>
      <c r="U60" s="17">
        <f t="shared" si="13"/>
        <v>3</v>
      </c>
      <c r="V60" s="17">
        <f t="shared" ref="V60:V101" si="15">+V59+1</f>
        <v>3</v>
      </c>
      <c r="W60" s="17"/>
    </row>
    <row r="61" spans="1:23" x14ac:dyDescent="0.35">
      <c r="A61" s="17"/>
      <c r="B61" s="17"/>
      <c r="C61" s="14"/>
      <c r="D61" s="18">
        <v>4</v>
      </c>
      <c r="E61" s="18" t="s">
        <v>277</v>
      </c>
      <c r="F61" s="18">
        <v>22</v>
      </c>
      <c r="G61" s="18">
        <v>15</v>
      </c>
      <c r="H61" s="18">
        <v>1</v>
      </c>
      <c r="I61" s="18">
        <v>6</v>
      </c>
      <c r="J61" s="18">
        <v>540</v>
      </c>
      <c r="K61" s="18" t="s">
        <v>20</v>
      </c>
      <c r="L61" s="19">
        <v>448</v>
      </c>
      <c r="M61" s="18">
        <v>31</v>
      </c>
      <c r="N61" s="18" t="s">
        <v>20</v>
      </c>
      <c r="O61" s="19">
        <v>13</v>
      </c>
      <c r="P61" s="17">
        <v>5</v>
      </c>
      <c r="Q61" s="17">
        <f t="shared" si="14"/>
        <v>509556363</v>
      </c>
      <c r="R61" s="17">
        <f t="shared" si="10"/>
        <v>7636254181</v>
      </c>
      <c r="S61" s="17">
        <f t="shared" si="11"/>
        <v>24545004</v>
      </c>
      <c r="T61" s="17">
        <f t="shared" si="12"/>
        <v>4013028</v>
      </c>
      <c r="U61" s="17">
        <f t="shared" si="13"/>
        <v>4</v>
      </c>
      <c r="V61" s="17">
        <f t="shared" si="15"/>
        <v>4</v>
      </c>
      <c r="W61" s="17"/>
    </row>
    <row r="62" spans="1:23" x14ac:dyDescent="0.35">
      <c r="A62" s="17"/>
      <c r="B62" s="17"/>
      <c r="C62" s="14"/>
      <c r="D62" s="18">
        <v>5</v>
      </c>
      <c r="E62" s="18" t="s">
        <v>280</v>
      </c>
      <c r="F62" s="18">
        <v>22</v>
      </c>
      <c r="G62" s="18">
        <v>13</v>
      </c>
      <c r="H62" s="18">
        <v>1</v>
      </c>
      <c r="I62" s="18">
        <v>8</v>
      </c>
      <c r="J62" s="18">
        <v>619</v>
      </c>
      <c r="K62" s="18" t="s">
        <v>20</v>
      </c>
      <c r="L62" s="19">
        <v>550</v>
      </c>
      <c r="M62" s="18">
        <v>27</v>
      </c>
      <c r="N62" s="18" t="s">
        <v>20</v>
      </c>
      <c r="O62" s="19">
        <v>17</v>
      </c>
      <c r="P62" s="17">
        <v>5</v>
      </c>
      <c r="Q62" s="17">
        <f t="shared" si="14"/>
        <v>509449090</v>
      </c>
      <c r="R62" s="17">
        <f t="shared" si="10"/>
        <v>6908953136</v>
      </c>
      <c r="S62" s="17">
        <f t="shared" si="11"/>
        <v>28136005</v>
      </c>
      <c r="T62" s="17">
        <f t="shared" si="12"/>
        <v>5017014</v>
      </c>
      <c r="U62" s="17">
        <f t="shared" si="13"/>
        <v>5</v>
      </c>
      <c r="V62" s="17">
        <f t="shared" si="15"/>
        <v>5</v>
      </c>
      <c r="W62" s="17"/>
    </row>
    <row r="63" spans="1:23" x14ac:dyDescent="0.35">
      <c r="A63" s="17"/>
      <c r="B63" s="17"/>
      <c r="C63" s="14"/>
      <c r="D63" s="18">
        <v>6</v>
      </c>
      <c r="E63" s="18" t="s">
        <v>282</v>
      </c>
      <c r="F63" s="18">
        <v>22</v>
      </c>
      <c r="G63" s="18">
        <v>13</v>
      </c>
      <c r="H63" s="18">
        <v>1</v>
      </c>
      <c r="I63" s="18">
        <v>8</v>
      </c>
      <c r="J63" s="18">
        <v>695</v>
      </c>
      <c r="K63" s="18" t="s">
        <v>20</v>
      </c>
      <c r="L63" s="19">
        <v>607</v>
      </c>
      <c r="M63" s="18">
        <v>27</v>
      </c>
      <c r="N63" s="18" t="s">
        <v>20</v>
      </c>
      <c r="O63" s="19">
        <v>17</v>
      </c>
      <c r="P63" s="17">
        <v>5</v>
      </c>
      <c r="Q63" s="17">
        <f t="shared" si="14"/>
        <v>509349090</v>
      </c>
      <c r="R63" s="17">
        <f t="shared" si="10"/>
        <v>6908954000</v>
      </c>
      <c r="S63" s="17">
        <f t="shared" si="11"/>
        <v>31590006</v>
      </c>
      <c r="T63" s="17">
        <f t="shared" si="12"/>
        <v>6016004</v>
      </c>
      <c r="U63" s="17">
        <f t="shared" si="13"/>
        <v>6</v>
      </c>
      <c r="V63" s="17">
        <f t="shared" si="15"/>
        <v>6</v>
      </c>
      <c r="W63" s="17"/>
    </row>
    <row r="64" spans="1:23" x14ac:dyDescent="0.35">
      <c r="A64" s="17"/>
      <c r="B64" s="17"/>
      <c r="C64" s="14"/>
      <c r="D64" s="18">
        <v>7</v>
      </c>
      <c r="E64" s="18" t="s">
        <v>284</v>
      </c>
      <c r="F64" s="18">
        <v>22</v>
      </c>
      <c r="G64" s="18">
        <v>10</v>
      </c>
      <c r="H64" s="18">
        <v>0</v>
      </c>
      <c r="I64" s="18">
        <v>12</v>
      </c>
      <c r="J64" s="18">
        <v>608</v>
      </c>
      <c r="K64" s="18" t="s">
        <v>20</v>
      </c>
      <c r="L64" s="19">
        <v>602</v>
      </c>
      <c r="M64" s="18">
        <v>20</v>
      </c>
      <c r="N64" s="18" t="s">
        <v>20</v>
      </c>
      <c r="O64" s="19">
        <v>24</v>
      </c>
      <c r="P64" s="17">
        <v>5</v>
      </c>
      <c r="Q64" s="17">
        <f t="shared" si="14"/>
        <v>509236363</v>
      </c>
      <c r="R64" s="17">
        <f t="shared" si="10"/>
        <v>5636250272</v>
      </c>
      <c r="S64" s="17">
        <f t="shared" si="11"/>
        <v>27636007</v>
      </c>
      <c r="T64" s="17">
        <f t="shared" si="12"/>
        <v>7024017</v>
      </c>
      <c r="U64" s="17">
        <f t="shared" si="13"/>
        <v>7</v>
      </c>
      <c r="V64" s="17">
        <f t="shared" si="15"/>
        <v>7</v>
      </c>
      <c r="W64" s="17"/>
    </row>
    <row r="65" spans="1:23" x14ac:dyDescent="0.35">
      <c r="A65" s="17"/>
      <c r="B65" s="17"/>
      <c r="C65" s="14"/>
      <c r="D65" s="18">
        <v>8</v>
      </c>
      <c r="E65" s="18" t="s">
        <v>285</v>
      </c>
      <c r="F65" s="18">
        <v>22</v>
      </c>
      <c r="G65" s="18">
        <v>8</v>
      </c>
      <c r="H65" s="18">
        <v>3</v>
      </c>
      <c r="I65" s="18">
        <v>11</v>
      </c>
      <c r="J65" s="18">
        <v>578</v>
      </c>
      <c r="K65" s="18" t="s">
        <v>20</v>
      </c>
      <c r="L65" s="19">
        <v>579</v>
      </c>
      <c r="M65" s="18">
        <v>19</v>
      </c>
      <c r="N65" s="18" t="s">
        <v>20</v>
      </c>
      <c r="O65" s="19">
        <v>25</v>
      </c>
      <c r="P65" s="17">
        <v>5</v>
      </c>
      <c r="Q65" s="17">
        <f t="shared" si="14"/>
        <v>509134545</v>
      </c>
      <c r="R65" s="17">
        <f t="shared" si="10"/>
        <v>5454449954</v>
      </c>
      <c r="S65" s="17">
        <f t="shared" si="11"/>
        <v>26272008</v>
      </c>
      <c r="T65" s="17">
        <f t="shared" si="12"/>
        <v>8027019</v>
      </c>
      <c r="U65" s="17">
        <f t="shared" si="13"/>
        <v>8</v>
      </c>
      <c r="V65" s="17">
        <f t="shared" si="15"/>
        <v>8</v>
      </c>
      <c r="W65" s="17"/>
    </row>
    <row r="66" spans="1:23" x14ac:dyDescent="0.35">
      <c r="A66" s="17"/>
      <c r="B66" s="17"/>
      <c r="C66" s="14"/>
      <c r="D66" s="18">
        <v>9</v>
      </c>
      <c r="E66" s="18" t="s">
        <v>286</v>
      </c>
      <c r="F66" s="18">
        <v>22</v>
      </c>
      <c r="G66" s="18">
        <v>8</v>
      </c>
      <c r="H66" s="18">
        <v>2</v>
      </c>
      <c r="I66" s="18">
        <v>12</v>
      </c>
      <c r="J66" s="18">
        <v>569</v>
      </c>
      <c r="K66" s="18" t="s">
        <v>20</v>
      </c>
      <c r="L66" s="19">
        <v>536</v>
      </c>
      <c r="M66" s="18">
        <v>14</v>
      </c>
      <c r="N66" s="18" t="s">
        <v>20</v>
      </c>
      <c r="O66" s="19">
        <v>26</v>
      </c>
      <c r="P66" s="17">
        <v>5</v>
      </c>
      <c r="Q66" s="17">
        <f t="shared" si="14"/>
        <v>509025454</v>
      </c>
      <c r="R66" s="17">
        <f t="shared" si="10"/>
        <v>5272651500</v>
      </c>
      <c r="S66" s="17">
        <f t="shared" si="11"/>
        <v>25863009</v>
      </c>
      <c r="T66" s="17">
        <f t="shared" si="12"/>
        <v>9029022</v>
      </c>
      <c r="U66" s="17">
        <f t="shared" si="13"/>
        <v>9</v>
      </c>
      <c r="V66" s="17">
        <f t="shared" si="15"/>
        <v>9</v>
      </c>
      <c r="W66" s="17"/>
    </row>
    <row r="67" spans="1:23" x14ac:dyDescent="0.35">
      <c r="A67" s="17"/>
      <c r="B67" s="17"/>
      <c r="C67" s="14"/>
      <c r="D67" s="18">
        <v>10</v>
      </c>
      <c r="E67" s="18" t="s">
        <v>283</v>
      </c>
      <c r="F67" s="18">
        <v>22</v>
      </c>
      <c r="G67" s="18">
        <v>6</v>
      </c>
      <c r="H67" s="18">
        <v>2</v>
      </c>
      <c r="I67" s="18">
        <v>14</v>
      </c>
      <c r="J67" s="18">
        <v>572</v>
      </c>
      <c r="K67" s="18" t="s">
        <v>20</v>
      </c>
      <c r="L67" s="19">
        <v>588</v>
      </c>
      <c r="M67" s="18">
        <v>14</v>
      </c>
      <c r="N67" s="18" t="s">
        <v>20</v>
      </c>
      <c r="O67" s="19">
        <v>30</v>
      </c>
      <c r="P67" s="17">
        <v>5</v>
      </c>
      <c r="Q67" s="17">
        <f t="shared" si="14"/>
        <v>508925454</v>
      </c>
      <c r="R67" s="17">
        <f t="shared" si="10"/>
        <v>4545349272</v>
      </c>
      <c r="S67" s="17">
        <f t="shared" si="11"/>
        <v>26000010</v>
      </c>
      <c r="T67" s="17">
        <f t="shared" si="12"/>
        <v>10034020</v>
      </c>
      <c r="U67" s="17">
        <f t="shared" si="13"/>
        <v>10</v>
      </c>
      <c r="V67" s="17">
        <f t="shared" si="15"/>
        <v>10</v>
      </c>
      <c r="W67" s="17"/>
    </row>
    <row r="68" spans="1:23" x14ac:dyDescent="0.35">
      <c r="A68" s="17"/>
      <c r="B68" s="17"/>
      <c r="C68" s="14"/>
      <c r="D68" s="18">
        <v>11</v>
      </c>
      <c r="E68" s="18" t="s">
        <v>288</v>
      </c>
      <c r="F68" s="18">
        <v>22</v>
      </c>
      <c r="G68" s="18">
        <v>2</v>
      </c>
      <c r="H68" s="18">
        <v>1</v>
      </c>
      <c r="I68" s="18">
        <v>19</v>
      </c>
      <c r="J68" s="18">
        <v>537</v>
      </c>
      <c r="K68" s="18" t="s">
        <v>20</v>
      </c>
      <c r="L68" s="19">
        <v>640</v>
      </c>
      <c r="M68" s="18">
        <v>0</v>
      </c>
      <c r="N68" s="18" t="s">
        <v>20</v>
      </c>
      <c r="O68" s="19">
        <v>39</v>
      </c>
      <c r="P68" s="17">
        <v>5</v>
      </c>
      <c r="Q68" s="17">
        <f t="shared" si="14"/>
        <v>508800000</v>
      </c>
      <c r="R68" s="17">
        <f t="shared" si="10"/>
        <v>2908945318</v>
      </c>
      <c r="S68" s="17">
        <f t="shared" si="11"/>
        <v>24409011</v>
      </c>
      <c r="T68" s="17">
        <f t="shared" si="12"/>
        <v>11041031</v>
      </c>
      <c r="U68" s="17">
        <f t="shared" si="13"/>
        <v>11</v>
      </c>
      <c r="V68" s="17">
        <f t="shared" si="15"/>
        <v>11</v>
      </c>
      <c r="W68" s="17"/>
    </row>
    <row r="69" spans="1:23" x14ac:dyDescent="0.35">
      <c r="A69" s="17"/>
      <c r="B69" s="17"/>
      <c r="C69" s="17"/>
      <c r="D69" s="18">
        <v>12</v>
      </c>
      <c r="E69" s="18" t="s">
        <v>287</v>
      </c>
      <c r="F69" s="18">
        <v>22</v>
      </c>
      <c r="G69" s="18">
        <v>0</v>
      </c>
      <c r="H69" s="18">
        <v>0</v>
      </c>
      <c r="I69" s="18">
        <v>22</v>
      </c>
      <c r="J69" s="18">
        <v>288</v>
      </c>
      <c r="K69" s="18" t="s">
        <v>20</v>
      </c>
      <c r="L69" s="19">
        <v>777</v>
      </c>
      <c r="M69" s="18">
        <v>0</v>
      </c>
      <c r="N69" s="18" t="s">
        <v>20</v>
      </c>
      <c r="O69" s="19">
        <v>44</v>
      </c>
      <c r="P69" s="17">
        <v>5</v>
      </c>
      <c r="Q69" s="17">
        <f t="shared" si="14"/>
        <v>508700000</v>
      </c>
      <c r="R69" s="17">
        <f t="shared" si="10"/>
        <v>1999927772</v>
      </c>
      <c r="S69" s="17">
        <f t="shared" si="11"/>
        <v>13090012</v>
      </c>
      <c r="T69" s="17">
        <f t="shared" si="12"/>
        <v>12044044</v>
      </c>
      <c r="U69" s="17">
        <f t="shared" si="13"/>
        <v>12</v>
      </c>
      <c r="V69" s="17">
        <f t="shared" si="15"/>
        <v>12</v>
      </c>
      <c r="W69" s="17"/>
    </row>
    <row r="70" spans="1:23" x14ac:dyDescent="0.35">
      <c r="A70" s="17"/>
      <c r="B70" s="17"/>
      <c r="C70" s="14" t="s">
        <v>539</v>
      </c>
      <c r="D70" s="18">
        <v>1</v>
      </c>
      <c r="E70" s="18" t="s">
        <v>289</v>
      </c>
      <c r="F70" s="18">
        <v>22</v>
      </c>
      <c r="G70" s="18">
        <v>16</v>
      </c>
      <c r="H70" s="18">
        <v>3</v>
      </c>
      <c r="I70" s="18">
        <v>3</v>
      </c>
      <c r="J70" s="18">
        <v>654</v>
      </c>
      <c r="K70" s="18" t="s">
        <v>20</v>
      </c>
      <c r="L70" s="19">
        <v>502</v>
      </c>
      <c r="M70" s="18">
        <v>35</v>
      </c>
      <c r="N70" s="18" t="s">
        <v>20</v>
      </c>
      <c r="O70" s="19">
        <v>9</v>
      </c>
      <c r="P70" s="17">
        <v>6</v>
      </c>
      <c r="Q70" s="17">
        <f t="shared" si="14"/>
        <v>409863636</v>
      </c>
      <c r="R70" s="17">
        <f t="shared" si="10"/>
        <v>8363556909</v>
      </c>
      <c r="S70" s="17">
        <f t="shared" si="11"/>
        <v>29727013</v>
      </c>
      <c r="T70" s="17">
        <f t="shared" si="12"/>
        <v>13006007</v>
      </c>
      <c r="U70" s="17">
        <f t="shared" si="13"/>
        <v>13</v>
      </c>
      <c r="V70" s="17">
        <f t="shared" si="15"/>
        <v>13</v>
      </c>
      <c r="W70" s="17" t="str">
        <f t="shared" ref="W70:W71" si="16">"VL Platz "&amp;D70</f>
        <v>VL Platz 1</v>
      </c>
    </row>
    <row r="71" spans="1:23" x14ac:dyDescent="0.35">
      <c r="A71" s="17"/>
      <c r="B71" s="17"/>
      <c r="C71" s="14"/>
      <c r="D71" s="18">
        <v>2</v>
      </c>
      <c r="E71" s="18" t="s">
        <v>292</v>
      </c>
      <c r="F71" s="18">
        <v>22</v>
      </c>
      <c r="G71" s="18">
        <v>17</v>
      </c>
      <c r="H71" s="18">
        <v>1</v>
      </c>
      <c r="I71" s="18">
        <v>4</v>
      </c>
      <c r="J71" s="18">
        <v>750</v>
      </c>
      <c r="K71" s="18" t="s">
        <v>20</v>
      </c>
      <c r="L71" s="19">
        <v>496</v>
      </c>
      <c r="M71" s="18">
        <v>35</v>
      </c>
      <c r="N71" s="18" t="s">
        <v>20</v>
      </c>
      <c r="O71" s="19">
        <v>9</v>
      </c>
      <c r="P71" s="17">
        <v>6</v>
      </c>
      <c r="Q71" s="17">
        <f t="shared" si="14"/>
        <v>409763636</v>
      </c>
      <c r="R71" s="17">
        <f t="shared" si="10"/>
        <v>8363561545</v>
      </c>
      <c r="S71" s="17">
        <f t="shared" si="11"/>
        <v>34090014</v>
      </c>
      <c r="T71" s="17">
        <f t="shared" si="12"/>
        <v>14005001</v>
      </c>
      <c r="U71" s="17">
        <f t="shared" si="13"/>
        <v>14</v>
      </c>
      <c r="V71" s="17">
        <f t="shared" si="15"/>
        <v>14</v>
      </c>
      <c r="W71" s="17" t="str">
        <f t="shared" si="16"/>
        <v>VL Platz 2</v>
      </c>
    </row>
    <row r="72" spans="1:23" x14ac:dyDescent="0.35">
      <c r="A72" s="17"/>
      <c r="B72" s="17"/>
      <c r="C72" s="14"/>
      <c r="D72" s="18">
        <v>3</v>
      </c>
      <c r="E72" s="18" t="s">
        <v>290</v>
      </c>
      <c r="F72" s="18">
        <v>22</v>
      </c>
      <c r="G72" s="18">
        <v>16</v>
      </c>
      <c r="H72" s="18">
        <v>1</v>
      </c>
      <c r="I72" s="18">
        <v>5</v>
      </c>
      <c r="J72" s="18">
        <v>570</v>
      </c>
      <c r="K72" s="18" t="s">
        <v>20</v>
      </c>
      <c r="L72" s="19">
        <v>471</v>
      </c>
      <c r="M72" s="18">
        <v>31</v>
      </c>
      <c r="N72" s="18" t="s">
        <v>20</v>
      </c>
      <c r="O72" s="19">
        <v>11</v>
      </c>
      <c r="P72" s="17">
        <v>6</v>
      </c>
      <c r="Q72" s="17">
        <f t="shared" si="14"/>
        <v>409656363</v>
      </c>
      <c r="R72" s="17">
        <f t="shared" si="10"/>
        <v>7999954500</v>
      </c>
      <c r="S72" s="17">
        <f t="shared" si="11"/>
        <v>25909015</v>
      </c>
      <c r="T72" s="17">
        <f t="shared" si="12"/>
        <v>15010021</v>
      </c>
      <c r="U72" s="17">
        <f t="shared" si="13"/>
        <v>15</v>
      </c>
      <c r="V72" s="17">
        <f t="shared" si="15"/>
        <v>15</v>
      </c>
      <c r="W72" s="17" t="str">
        <f>"VL Platz "&amp;D72</f>
        <v>VL Platz 3</v>
      </c>
    </row>
    <row r="73" spans="1:23" x14ac:dyDescent="0.35">
      <c r="A73" s="17"/>
      <c r="B73" s="17"/>
      <c r="C73" s="14"/>
      <c r="D73" s="18">
        <v>4</v>
      </c>
      <c r="E73" s="18" t="s">
        <v>291</v>
      </c>
      <c r="F73" s="18">
        <v>22</v>
      </c>
      <c r="G73" s="18">
        <v>15</v>
      </c>
      <c r="H73" s="18">
        <v>1</v>
      </c>
      <c r="I73" s="18">
        <v>6</v>
      </c>
      <c r="J73" s="18">
        <v>623</v>
      </c>
      <c r="K73" s="18" t="s">
        <v>20</v>
      </c>
      <c r="L73" s="19">
        <v>517</v>
      </c>
      <c r="M73" s="18">
        <v>29</v>
      </c>
      <c r="N73" s="18" t="s">
        <v>20</v>
      </c>
      <c r="O73" s="19">
        <v>13</v>
      </c>
      <c r="P73" s="17">
        <v>6</v>
      </c>
      <c r="Q73" s="17">
        <f t="shared" si="14"/>
        <v>409552727</v>
      </c>
      <c r="R73" s="17">
        <f t="shared" si="10"/>
        <v>7636254818</v>
      </c>
      <c r="S73" s="17">
        <f t="shared" si="11"/>
        <v>28318016</v>
      </c>
      <c r="T73" s="17">
        <f t="shared" si="12"/>
        <v>16012013</v>
      </c>
      <c r="U73" s="17">
        <f t="shared" si="13"/>
        <v>16</v>
      </c>
      <c r="V73" s="17">
        <f t="shared" si="15"/>
        <v>16</v>
      </c>
      <c r="W73" s="17" t="str">
        <f t="shared" ref="W73:W81" si="17">"VL Platz "&amp;D73</f>
        <v>VL Platz 4</v>
      </c>
    </row>
    <row r="74" spans="1:23" x14ac:dyDescent="0.35">
      <c r="A74" s="17"/>
      <c r="B74" s="17"/>
      <c r="C74" s="14"/>
      <c r="D74" s="18">
        <v>5</v>
      </c>
      <c r="E74" s="18" t="s">
        <v>296</v>
      </c>
      <c r="F74" s="18">
        <v>22</v>
      </c>
      <c r="G74" s="18">
        <v>13</v>
      </c>
      <c r="H74" s="18">
        <v>3</v>
      </c>
      <c r="I74" s="18">
        <v>6</v>
      </c>
      <c r="J74" s="18">
        <v>567</v>
      </c>
      <c r="K74" s="18" t="s">
        <v>20</v>
      </c>
      <c r="L74" s="19">
        <v>457</v>
      </c>
      <c r="M74" s="18">
        <v>24</v>
      </c>
      <c r="N74" s="18" t="s">
        <v>20</v>
      </c>
      <c r="O74" s="19">
        <v>15</v>
      </c>
      <c r="P74" s="17">
        <v>6</v>
      </c>
      <c r="Q74" s="17">
        <f t="shared" si="14"/>
        <v>409443636</v>
      </c>
      <c r="R74" s="17">
        <f t="shared" si="10"/>
        <v>7272655000</v>
      </c>
      <c r="S74" s="17">
        <f t="shared" si="11"/>
        <v>25772017</v>
      </c>
      <c r="T74" s="17">
        <f t="shared" si="12"/>
        <v>17015024</v>
      </c>
      <c r="U74" s="17">
        <f t="shared" si="13"/>
        <v>17</v>
      </c>
      <c r="V74" s="17">
        <f t="shared" si="15"/>
        <v>17</v>
      </c>
      <c r="W74" s="17" t="str">
        <f t="shared" si="17"/>
        <v>VL Platz 5</v>
      </c>
    </row>
    <row r="75" spans="1:23" x14ac:dyDescent="0.35">
      <c r="A75" s="17"/>
      <c r="B75" s="17"/>
      <c r="C75" s="14"/>
      <c r="D75" s="18">
        <v>6</v>
      </c>
      <c r="E75" s="18" t="s">
        <v>293</v>
      </c>
      <c r="F75" s="18">
        <v>22</v>
      </c>
      <c r="G75" s="18">
        <v>12</v>
      </c>
      <c r="H75" s="18">
        <v>1</v>
      </c>
      <c r="I75" s="18">
        <v>9</v>
      </c>
      <c r="J75" s="18">
        <v>548</v>
      </c>
      <c r="K75" s="18" t="s">
        <v>20</v>
      </c>
      <c r="L75" s="19">
        <v>480</v>
      </c>
      <c r="M75" s="18">
        <v>23</v>
      </c>
      <c r="N75" s="18" t="s">
        <v>20</v>
      </c>
      <c r="O75" s="19">
        <v>19</v>
      </c>
      <c r="P75" s="17">
        <v>6</v>
      </c>
      <c r="Q75" s="17">
        <f t="shared" si="14"/>
        <v>409341818</v>
      </c>
      <c r="R75" s="17">
        <f t="shared" si="10"/>
        <v>6545353090</v>
      </c>
      <c r="S75" s="17">
        <f t="shared" si="11"/>
        <v>24909018</v>
      </c>
      <c r="T75" s="17">
        <f t="shared" si="12"/>
        <v>18020027</v>
      </c>
      <c r="U75" s="17">
        <f t="shared" si="13"/>
        <v>18</v>
      </c>
      <c r="V75" s="17">
        <f t="shared" si="15"/>
        <v>18</v>
      </c>
      <c r="W75" s="17" t="str">
        <f t="shared" si="17"/>
        <v>VL Platz 6</v>
      </c>
    </row>
    <row r="76" spans="1:23" x14ac:dyDescent="0.35">
      <c r="A76" s="17"/>
      <c r="B76" s="17"/>
      <c r="C76" s="14"/>
      <c r="D76" s="18">
        <v>7</v>
      </c>
      <c r="E76" s="18" t="s">
        <v>294</v>
      </c>
      <c r="F76" s="18">
        <v>22</v>
      </c>
      <c r="G76" s="18">
        <v>12</v>
      </c>
      <c r="H76" s="18">
        <v>0</v>
      </c>
      <c r="I76" s="18">
        <v>10</v>
      </c>
      <c r="J76" s="18">
        <v>549</v>
      </c>
      <c r="K76" s="18" t="s">
        <v>20</v>
      </c>
      <c r="L76" s="19">
        <v>513</v>
      </c>
      <c r="M76" s="18">
        <v>20</v>
      </c>
      <c r="N76" s="18" t="s">
        <v>20</v>
      </c>
      <c r="O76" s="19">
        <v>20</v>
      </c>
      <c r="P76" s="17">
        <v>6</v>
      </c>
      <c r="Q76" s="17">
        <f t="shared" si="14"/>
        <v>409236363</v>
      </c>
      <c r="R76" s="17">
        <f t="shared" si="10"/>
        <v>6363551636</v>
      </c>
      <c r="S76" s="17">
        <f t="shared" si="11"/>
        <v>24954019</v>
      </c>
      <c r="T76" s="17">
        <f t="shared" si="12"/>
        <v>19021026</v>
      </c>
      <c r="U76" s="17">
        <f t="shared" si="13"/>
        <v>19</v>
      </c>
      <c r="V76" s="17">
        <f t="shared" si="15"/>
        <v>19</v>
      </c>
      <c r="W76" s="17" t="str">
        <f t="shared" si="17"/>
        <v>VL Platz 7</v>
      </c>
    </row>
    <row r="77" spans="1:23" x14ac:dyDescent="0.35">
      <c r="A77" s="17"/>
      <c r="B77" s="17"/>
      <c r="C77" s="14"/>
      <c r="D77" s="18">
        <v>8</v>
      </c>
      <c r="E77" s="18" t="s">
        <v>295</v>
      </c>
      <c r="F77" s="18">
        <v>22</v>
      </c>
      <c r="G77" s="18">
        <v>9</v>
      </c>
      <c r="H77" s="18">
        <v>0</v>
      </c>
      <c r="I77" s="18">
        <v>13</v>
      </c>
      <c r="J77" s="18">
        <v>584</v>
      </c>
      <c r="K77" s="18" t="s">
        <v>20</v>
      </c>
      <c r="L77" s="19">
        <v>627</v>
      </c>
      <c r="M77" s="18">
        <v>18</v>
      </c>
      <c r="N77" s="18" t="s">
        <v>20</v>
      </c>
      <c r="O77" s="19">
        <v>26</v>
      </c>
      <c r="P77" s="17">
        <v>6</v>
      </c>
      <c r="Q77" s="17">
        <f t="shared" si="14"/>
        <v>409132727</v>
      </c>
      <c r="R77" s="17">
        <f t="shared" si="10"/>
        <v>5272648045</v>
      </c>
      <c r="S77" s="17">
        <f t="shared" si="11"/>
        <v>26545020</v>
      </c>
      <c r="T77" s="17">
        <f t="shared" si="12"/>
        <v>20030018</v>
      </c>
      <c r="U77" s="17">
        <f t="shared" si="13"/>
        <v>20</v>
      </c>
      <c r="V77" s="17">
        <f t="shared" si="15"/>
        <v>20</v>
      </c>
      <c r="W77" s="17" t="str">
        <f t="shared" si="17"/>
        <v>VL Platz 8</v>
      </c>
    </row>
    <row r="78" spans="1:23" x14ac:dyDescent="0.35">
      <c r="A78" s="17"/>
      <c r="B78" s="17"/>
      <c r="C78" s="14"/>
      <c r="D78" s="18">
        <v>9</v>
      </c>
      <c r="E78" s="18" t="s">
        <v>297</v>
      </c>
      <c r="F78" s="18">
        <v>22</v>
      </c>
      <c r="G78" s="18">
        <v>9</v>
      </c>
      <c r="H78" s="18">
        <v>0</v>
      </c>
      <c r="I78" s="18">
        <v>13</v>
      </c>
      <c r="J78" s="18">
        <v>473</v>
      </c>
      <c r="K78" s="18" t="s">
        <v>20</v>
      </c>
      <c r="L78" s="19">
        <v>533</v>
      </c>
      <c r="M78" s="18">
        <v>14</v>
      </c>
      <c r="N78" s="18" t="s">
        <v>20</v>
      </c>
      <c r="O78" s="19">
        <v>26</v>
      </c>
      <c r="P78" s="17">
        <v>6</v>
      </c>
      <c r="Q78" s="17">
        <f t="shared" si="14"/>
        <v>409025454</v>
      </c>
      <c r="R78" s="17">
        <f t="shared" si="10"/>
        <v>5272647272</v>
      </c>
      <c r="S78" s="17">
        <f t="shared" si="11"/>
        <v>21500021</v>
      </c>
      <c r="T78" s="17">
        <f t="shared" si="12"/>
        <v>21031038</v>
      </c>
      <c r="U78" s="17">
        <f t="shared" si="13"/>
        <v>21</v>
      </c>
      <c r="V78" s="17">
        <f t="shared" si="15"/>
        <v>21</v>
      </c>
      <c r="W78" s="17" t="str">
        <f t="shared" si="17"/>
        <v>VL Platz 9</v>
      </c>
    </row>
    <row r="79" spans="1:23" x14ac:dyDescent="0.35">
      <c r="A79" s="17"/>
      <c r="B79" s="17"/>
      <c r="C79" s="14"/>
      <c r="D79" s="18">
        <v>10</v>
      </c>
      <c r="E79" s="18" t="s">
        <v>299</v>
      </c>
      <c r="F79" s="18">
        <v>22</v>
      </c>
      <c r="G79" s="18">
        <v>5</v>
      </c>
      <c r="H79" s="18">
        <v>0</v>
      </c>
      <c r="I79" s="18">
        <v>17</v>
      </c>
      <c r="J79" s="18">
        <v>477</v>
      </c>
      <c r="K79" s="18" t="s">
        <v>20</v>
      </c>
      <c r="L79" s="19">
        <v>626</v>
      </c>
      <c r="M79" s="18">
        <v>7</v>
      </c>
      <c r="N79" s="18" t="s">
        <v>20</v>
      </c>
      <c r="O79" s="19">
        <v>34</v>
      </c>
      <c r="P79" s="17">
        <v>6</v>
      </c>
      <c r="Q79" s="17">
        <f t="shared" si="14"/>
        <v>408912727</v>
      </c>
      <c r="R79" s="17">
        <f t="shared" si="10"/>
        <v>3818043227</v>
      </c>
      <c r="S79" s="17">
        <f t="shared" si="11"/>
        <v>21681022</v>
      </c>
      <c r="T79" s="17">
        <f t="shared" si="12"/>
        <v>22036037</v>
      </c>
      <c r="U79" s="17">
        <f t="shared" si="13"/>
        <v>22</v>
      </c>
      <c r="V79" s="17">
        <f t="shared" si="15"/>
        <v>22</v>
      </c>
      <c r="W79" s="17" t="str">
        <f t="shared" si="17"/>
        <v>VL Platz 10</v>
      </c>
    </row>
    <row r="80" spans="1:23" x14ac:dyDescent="0.35">
      <c r="A80" s="17"/>
      <c r="B80" s="17"/>
      <c r="C80" s="14"/>
      <c r="D80" s="18">
        <v>11</v>
      </c>
      <c r="E80" s="18" t="s">
        <v>298</v>
      </c>
      <c r="F80" s="18">
        <v>22</v>
      </c>
      <c r="G80" s="18">
        <v>3</v>
      </c>
      <c r="H80" s="18">
        <v>0</v>
      </c>
      <c r="I80" s="18">
        <v>19</v>
      </c>
      <c r="J80" s="18">
        <v>372</v>
      </c>
      <c r="K80" s="18" t="s">
        <v>20</v>
      </c>
      <c r="L80" s="19">
        <v>514</v>
      </c>
      <c r="M80" s="18">
        <v>6</v>
      </c>
      <c r="N80" s="18" t="s">
        <v>20</v>
      </c>
      <c r="O80" s="19">
        <v>38</v>
      </c>
      <c r="P80" s="17">
        <v>6</v>
      </c>
      <c r="Q80" s="17">
        <f t="shared" si="14"/>
        <v>408810909</v>
      </c>
      <c r="R80" s="17">
        <f t="shared" si="10"/>
        <v>3090843545</v>
      </c>
      <c r="S80" s="17">
        <f t="shared" si="11"/>
        <v>16909023</v>
      </c>
      <c r="T80" s="17">
        <f t="shared" si="12"/>
        <v>23040041</v>
      </c>
      <c r="U80" s="17">
        <f t="shared" si="13"/>
        <v>23</v>
      </c>
      <c r="V80" s="17">
        <f t="shared" si="15"/>
        <v>23</v>
      </c>
      <c r="W80" s="17" t="str">
        <f t="shared" si="17"/>
        <v>VL Platz 11</v>
      </c>
    </row>
    <row r="81" spans="1:23" x14ac:dyDescent="0.35">
      <c r="A81" s="17"/>
      <c r="B81" s="17"/>
      <c r="C81" s="14"/>
      <c r="D81" s="102">
        <v>12</v>
      </c>
      <c r="E81" s="102" t="s">
        <v>300</v>
      </c>
      <c r="F81" s="102">
        <v>22</v>
      </c>
      <c r="G81" s="102">
        <v>0</v>
      </c>
      <c r="H81" s="102">
        <v>0</v>
      </c>
      <c r="I81" s="102">
        <v>22</v>
      </c>
      <c r="J81" s="102">
        <v>356</v>
      </c>
      <c r="K81" s="102" t="s">
        <v>20</v>
      </c>
      <c r="L81" s="103">
        <v>787</v>
      </c>
      <c r="M81" s="102">
        <v>0</v>
      </c>
      <c r="N81" s="102" t="s">
        <v>20</v>
      </c>
      <c r="O81" s="103">
        <v>44</v>
      </c>
      <c r="P81" s="102">
        <v>9</v>
      </c>
      <c r="Q81" s="17">
        <f t="shared" si="14"/>
        <v>108700000</v>
      </c>
      <c r="R81" s="17">
        <f t="shared" si="10"/>
        <v>1999930409</v>
      </c>
      <c r="S81" s="17">
        <f t="shared" si="11"/>
        <v>16181024</v>
      </c>
      <c r="T81" s="17">
        <f t="shared" si="12"/>
        <v>44043042</v>
      </c>
      <c r="U81" s="17">
        <f t="shared" si="13"/>
        <v>44</v>
      </c>
      <c r="V81" s="17">
        <f t="shared" si="15"/>
        <v>24</v>
      </c>
      <c r="W81" s="17" t="str">
        <f t="shared" si="17"/>
        <v>VL Platz 12</v>
      </c>
    </row>
    <row r="82" spans="1:23" x14ac:dyDescent="0.35">
      <c r="A82" s="17"/>
      <c r="B82" s="17"/>
      <c r="C82" s="14" t="s">
        <v>431</v>
      </c>
      <c r="D82" s="18">
        <v>1</v>
      </c>
      <c r="E82" s="18" t="s">
        <v>302</v>
      </c>
      <c r="F82" s="18">
        <v>18</v>
      </c>
      <c r="G82" s="18">
        <v>17</v>
      </c>
      <c r="H82" s="18">
        <v>1</v>
      </c>
      <c r="I82" s="18">
        <v>0</v>
      </c>
      <c r="J82" s="18">
        <v>455</v>
      </c>
      <c r="K82" s="18" t="s">
        <v>20</v>
      </c>
      <c r="L82" s="19">
        <v>307</v>
      </c>
      <c r="M82" s="18">
        <v>35</v>
      </c>
      <c r="N82" s="18" t="s">
        <v>20</v>
      </c>
      <c r="O82" s="19">
        <v>1</v>
      </c>
      <c r="P82" s="17">
        <v>7</v>
      </c>
      <c r="Q82" s="17">
        <f>INT(40000*M82/F82)+100000*(1000*(10-P82))</f>
        <v>300077777</v>
      </c>
      <c r="R82" s="17">
        <f t="shared" si="10"/>
        <v>9777658222</v>
      </c>
      <c r="S82" s="17">
        <f t="shared" si="11"/>
        <v>25277025</v>
      </c>
      <c r="T82" s="17">
        <f t="shared" si="12"/>
        <v>25001025</v>
      </c>
      <c r="U82" s="17">
        <f t="shared" si="13"/>
        <v>25</v>
      </c>
      <c r="V82" s="17">
        <f t="shared" si="15"/>
        <v>25</v>
      </c>
      <c r="W82" s="17" t="str">
        <f>"LL Platz "&amp;D82&amp;" Rang "&amp;(U82-22-2*D82)</f>
        <v>LL Platz 1 Rang 1</v>
      </c>
    </row>
    <row r="83" spans="1:23" x14ac:dyDescent="0.35">
      <c r="A83" s="17"/>
      <c r="B83" s="17" t="s">
        <v>576</v>
      </c>
      <c r="C83" s="14"/>
      <c r="D83" s="18">
        <v>2</v>
      </c>
      <c r="E83" s="18" t="s">
        <v>301</v>
      </c>
      <c r="F83" s="18">
        <v>18</v>
      </c>
      <c r="G83" s="18">
        <v>15</v>
      </c>
      <c r="H83" s="18">
        <v>0</v>
      </c>
      <c r="I83" s="18">
        <v>3</v>
      </c>
      <c r="J83" s="18">
        <v>441</v>
      </c>
      <c r="K83" s="18" t="s">
        <v>20</v>
      </c>
      <c r="L83" s="19">
        <v>334</v>
      </c>
      <c r="M83" s="18">
        <v>30</v>
      </c>
      <c r="N83" s="18" t="s">
        <v>20</v>
      </c>
      <c r="O83" s="19">
        <v>6</v>
      </c>
      <c r="P83" s="17">
        <v>7</v>
      </c>
      <c r="Q83" s="17">
        <f t="shared" ref="Q83:Q101" si="18">INT(40000*M83/F83)+100000*(1000*(10-P83))</f>
        <v>300066666</v>
      </c>
      <c r="R83" s="17">
        <f t="shared" si="10"/>
        <v>8666555944</v>
      </c>
      <c r="S83" s="17">
        <f t="shared" si="11"/>
        <v>24500026</v>
      </c>
      <c r="T83" s="17">
        <f t="shared" si="12"/>
        <v>26002030</v>
      </c>
      <c r="U83" s="17">
        <f t="shared" si="13"/>
        <v>26</v>
      </c>
      <c r="V83" s="17">
        <f t="shared" si="15"/>
        <v>26</v>
      </c>
      <c r="W83" s="17" t="str">
        <f t="shared" ref="W83:W101" si="19">"LL Platz "&amp;D83&amp;" Rang "&amp;(U83-22-2*D83)</f>
        <v>LL Platz 2 Rang 0</v>
      </c>
    </row>
    <row r="84" spans="1:23" x14ac:dyDescent="0.35">
      <c r="A84" s="17"/>
      <c r="B84" s="17" t="s">
        <v>576</v>
      </c>
      <c r="C84" s="14"/>
      <c r="D84" s="18">
        <v>3</v>
      </c>
      <c r="E84" s="18" t="s">
        <v>303</v>
      </c>
      <c r="F84" s="18">
        <v>18</v>
      </c>
      <c r="G84" s="18">
        <v>11</v>
      </c>
      <c r="H84" s="18">
        <v>2</v>
      </c>
      <c r="I84" s="18">
        <v>5</v>
      </c>
      <c r="J84" s="18">
        <v>464</v>
      </c>
      <c r="K84" s="18" t="s">
        <v>20</v>
      </c>
      <c r="L84" s="19">
        <v>375</v>
      </c>
      <c r="M84" s="18">
        <v>24</v>
      </c>
      <c r="N84" s="18" t="s">
        <v>20</v>
      </c>
      <c r="O84" s="19">
        <v>12</v>
      </c>
      <c r="P84" s="17">
        <v>7</v>
      </c>
      <c r="Q84" s="17">
        <f t="shared" si="18"/>
        <v>300053333</v>
      </c>
      <c r="R84" s="17">
        <f t="shared" si="10"/>
        <v>7333254944</v>
      </c>
      <c r="S84" s="17">
        <f t="shared" si="11"/>
        <v>25777027</v>
      </c>
      <c r="T84" s="17">
        <f t="shared" si="12"/>
        <v>29014023</v>
      </c>
      <c r="U84" s="17">
        <f t="shared" si="13"/>
        <v>29</v>
      </c>
      <c r="V84" s="17">
        <f t="shared" si="15"/>
        <v>27</v>
      </c>
      <c r="W84" s="17" t="str">
        <f t="shared" si="19"/>
        <v>LL Platz 3 Rang 1</v>
      </c>
    </row>
    <row r="85" spans="1:23" x14ac:dyDescent="0.35">
      <c r="A85" s="17"/>
      <c r="B85" s="17" t="s">
        <v>576</v>
      </c>
      <c r="C85" s="14"/>
      <c r="D85" s="18">
        <v>4</v>
      </c>
      <c r="E85" s="18" t="s">
        <v>306</v>
      </c>
      <c r="F85" s="18">
        <v>18</v>
      </c>
      <c r="G85" s="18">
        <v>11</v>
      </c>
      <c r="H85" s="18">
        <v>0</v>
      </c>
      <c r="I85" s="18">
        <v>7</v>
      </c>
      <c r="J85" s="18">
        <v>441</v>
      </c>
      <c r="K85" s="18" t="s">
        <v>20</v>
      </c>
      <c r="L85" s="19">
        <v>419</v>
      </c>
      <c r="M85" s="18">
        <v>20</v>
      </c>
      <c r="N85" s="18" t="s">
        <v>20</v>
      </c>
      <c r="O85" s="19">
        <v>14</v>
      </c>
      <c r="P85" s="17">
        <v>7</v>
      </c>
      <c r="Q85" s="17">
        <f t="shared" si="18"/>
        <v>300044444</v>
      </c>
      <c r="R85" s="17">
        <f t="shared" si="10"/>
        <v>6888751222</v>
      </c>
      <c r="S85" s="17">
        <f t="shared" si="11"/>
        <v>24500028</v>
      </c>
      <c r="T85" s="17">
        <f t="shared" si="12"/>
        <v>31018029</v>
      </c>
      <c r="U85" s="17">
        <f t="shared" si="13"/>
        <v>31</v>
      </c>
      <c r="V85" s="17">
        <f t="shared" si="15"/>
        <v>28</v>
      </c>
      <c r="W85" s="17" t="str">
        <f t="shared" si="19"/>
        <v>LL Platz 4 Rang 1</v>
      </c>
    </row>
    <row r="86" spans="1:23" x14ac:dyDescent="0.35">
      <c r="A86" s="17"/>
      <c r="B86" s="17" t="s">
        <v>576</v>
      </c>
      <c r="C86" s="14"/>
      <c r="D86" s="18">
        <v>5</v>
      </c>
      <c r="E86" s="18" t="s">
        <v>305</v>
      </c>
      <c r="F86" s="18">
        <v>18</v>
      </c>
      <c r="G86" s="18">
        <v>9</v>
      </c>
      <c r="H86" s="18">
        <v>0</v>
      </c>
      <c r="I86" s="18">
        <v>9</v>
      </c>
      <c r="J86" s="18">
        <v>399</v>
      </c>
      <c r="K86" s="18" t="s">
        <v>20</v>
      </c>
      <c r="L86" s="19">
        <v>366</v>
      </c>
      <c r="M86" s="18">
        <v>18</v>
      </c>
      <c r="N86" s="18" t="s">
        <v>20</v>
      </c>
      <c r="O86" s="19">
        <v>18</v>
      </c>
      <c r="P86" s="17">
        <v>7</v>
      </c>
      <c r="Q86" s="17">
        <f t="shared" si="18"/>
        <v>300040000</v>
      </c>
      <c r="R86" s="17">
        <f t="shared" si="10"/>
        <v>5999951833</v>
      </c>
      <c r="S86" s="17">
        <f t="shared" si="11"/>
        <v>22166029</v>
      </c>
      <c r="T86" s="17">
        <f t="shared" si="12"/>
        <v>32023036</v>
      </c>
      <c r="U86" s="17">
        <f t="shared" si="13"/>
        <v>32</v>
      </c>
      <c r="V86" s="17">
        <f t="shared" si="15"/>
        <v>29</v>
      </c>
      <c r="W86" s="17" t="str">
        <f t="shared" si="19"/>
        <v>LL Platz 5 Rang 0</v>
      </c>
    </row>
    <row r="87" spans="1:23" x14ac:dyDescent="0.35">
      <c r="A87" s="17"/>
      <c r="B87" s="17" t="s">
        <v>576</v>
      </c>
      <c r="C87" s="14"/>
      <c r="D87" s="18">
        <v>6</v>
      </c>
      <c r="E87" s="18" t="s">
        <v>304</v>
      </c>
      <c r="F87" s="18">
        <v>18</v>
      </c>
      <c r="G87" s="18">
        <v>9</v>
      </c>
      <c r="H87" s="18">
        <v>1</v>
      </c>
      <c r="I87" s="18">
        <v>8</v>
      </c>
      <c r="J87" s="18">
        <v>421</v>
      </c>
      <c r="K87" s="18" t="s">
        <v>20</v>
      </c>
      <c r="L87" s="19">
        <v>398</v>
      </c>
      <c r="M87" s="18">
        <v>17</v>
      </c>
      <c r="N87" s="18" t="s">
        <v>20</v>
      </c>
      <c r="O87" s="19">
        <v>17</v>
      </c>
      <c r="P87" s="17">
        <v>7</v>
      </c>
      <c r="Q87" s="17">
        <f t="shared" si="18"/>
        <v>300037777</v>
      </c>
      <c r="R87" s="17">
        <f t="shared" si="10"/>
        <v>6222151277</v>
      </c>
      <c r="S87" s="17">
        <f t="shared" si="11"/>
        <v>23388030</v>
      </c>
      <c r="T87" s="17">
        <f t="shared" si="12"/>
        <v>33022033</v>
      </c>
      <c r="U87" s="17">
        <f t="shared" si="13"/>
        <v>33</v>
      </c>
      <c r="V87" s="17">
        <f t="shared" si="15"/>
        <v>30</v>
      </c>
      <c r="W87" s="17" t="str">
        <f t="shared" si="19"/>
        <v>LL Platz 6 Rang -1</v>
      </c>
    </row>
    <row r="88" spans="1:23" x14ac:dyDescent="0.35">
      <c r="A88" s="17"/>
      <c r="B88" s="17" t="s">
        <v>576</v>
      </c>
      <c r="C88" s="14"/>
      <c r="D88" s="18">
        <v>7</v>
      </c>
      <c r="E88" s="18" t="s">
        <v>307</v>
      </c>
      <c r="F88" s="18">
        <v>18</v>
      </c>
      <c r="G88" s="18">
        <v>8</v>
      </c>
      <c r="H88" s="18">
        <v>0</v>
      </c>
      <c r="I88" s="18">
        <v>10</v>
      </c>
      <c r="J88" s="18">
        <v>414</v>
      </c>
      <c r="K88" s="18" t="s">
        <v>20</v>
      </c>
      <c r="L88" s="19">
        <v>441</v>
      </c>
      <c r="M88" s="18">
        <v>16</v>
      </c>
      <c r="N88" s="18" t="s">
        <v>20</v>
      </c>
      <c r="O88" s="19">
        <v>20</v>
      </c>
      <c r="P88" s="17">
        <v>7</v>
      </c>
      <c r="Q88" s="17">
        <f t="shared" si="18"/>
        <v>300035555</v>
      </c>
      <c r="R88" s="17">
        <f t="shared" si="10"/>
        <v>5555448500</v>
      </c>
      <c r="S88" s="17">
        <f t="shared" si="11"/>
        <v>23000031</v>
      </c>
      <c r="T88" s="17">
        <f t="shared" si="12"/>
        <v>34026034</v>
      </c>
      <c r="U88" s="17">
        <f t="shared" si="13"/>
        <v>35</v>
      </c>
      <c r="V88" s="17">
        <f t="shared" si="15"/>
        <v>31</v>
      </c>
      <c r="W88" s="17" t="str">
        <f t="shared" si="19"/>
        <v>LL Platz 7 Rang -1</v>
      </c>
    </row>
    <row r="89" spans="1:23" x14ac:dyDescent="0.35">
      <c r="A89" s="17"/>
      <c r="B89" s="17" t="s">
        <v>576</v>
      </c>
      <c r="C89" s="14"/>
      <c r="D89" s="18">
        <v>8</v>
      </c>
      <c r="E89" s="18" t="s">
        <v>42</v>
      </c>
      <c r="F89" s="18">
        <v>18</v>
      </c>
      <c r="G89" s="18">
        <v>3</v>
      </c>
      <c r="H89" s="18">
        <v>1</v>
      </c>
      <c r="I89" s="18">
        <v>14</v>
      </c>
      <c r="J89" s="18">
        <v>374</v>
      </c>
      <c r="K89" s="18" t="s">
        <v>20</v>
      </c>
      <c r="L89" s="19">
        <v>465</v>
      </c>
      <c r="M89" s="18">
        <v>7</v>
      </c>
      <c r="N89" s="18" t="s">
        <v>20</v>
      </c>
      <c r="O89" s="19">
        <v>29</v>
      </c>
      <c r="P89" s="17">
        <v>7</v>
      </c>
      <c r="Q89" s="17">
        <f t="shared" si="18"/>
        <v>300015555</v>
      </c>
      <c r="R89" s="17">
        <f t="shared" si="10"/>
        <v>3555444944</v>
      </c>
      <c r="S89" s="17">
        <f t="shared" si="11"/>
        <v>20777032</v>
      </c>
      <c r="T89" s="17">
        <f t="shared" si="12"/>
        <v>40037039</v>
      </c>
      <c r="U89" s="17">
        <f t="shared" si="13"/>
        <v>40</v>
      </c>
      <c r="V89" s="17">
        <f t="shared" si="15"/>
        <v>32</v>
      </c>
      <c r="W89" s="17" t="str">
        <f t="shared" si="19"/>
        <v>LL Platz 8 Rang 2</v>
      </c>
    </row>
    <row r="90" spans="1:23" x14ac:dyDescent="0.35">
      <c r="A90" s="17"/>
      <c r="B90" s="17" t="s">
        <v>576</v>
      </c>
      <c r="C90" s="14"/>
      <c r="D90" s="18">
        <v>9</v>
      </c>
      <c r="E90" s="18" t="s">
        <v>308</v>
      </c>
      <c r="F90" s="18">
        <v>18</v>
      </c>
      <c r="G90" s="18">
        <v>2</v>
      </c>
      <c r="H90" s="18">
        <v>1</v>
      </c>
      <c r="I90" s="18">
        <v>15</v>
      </c>
      <c r="J90" s="18">
        <v>339</v>
      </c>
      <c r="K90" s="18" t="s">
        <v>20</v>
      </c>
      <c r="L90" s="19">
        <v>510</v>
      </c>
      <c r="M90" s="18">
        <v>5</v>
      </c>
      <c r="N90" s="18" t="s">
        <v>20</v>
      </c>
      <c r="O90" s="19">
        <v>31</v>
      </c>
      <c r="P90" s="17">
        <v>7</v>
      </c>
      <c r="Q90" s="17">
        <f t="shared" si="18"/>
        <v>300011111</v>
      </c>
      <c r="R90" s="17">
        <f t="shared" si="10"/>
        <v>3111040500</v>
      </c>
      <c r="S90" s="17">
        <f t="shared" si="11"/>
        <v>18833033</v>
      </c>
      <c r="T90" s="17">
        <f t="shared" si="12"/>
        <v>42039040</v>
      </c>
      <c r="U90" s="17">
        <f t="shared" si="13"/>
        <v>42</v>
      </c>
      <c r="V90" s="17">
        <f t="shared" si="15"/>
        <v>33</v>
      </c>
      <c r="W90" s="17" t="str">
        <f t="shared" si="19"/>
        <v>LL Platz 9 Rang 2</v>
      </c>
    </row>
    <row r="91" spans="1:23" x14ac:dyDescent="0.35">
      <c r="A91" s="17"/>
      <c r="B91" s="17" t="s">
        <v>576</v>
      </c>
      <c r="C91" s="14"/>
      <c r="D91" s="18">
        <v>10</v>
      </c>
      <c r="E91" s="18" t="s">
        <v>309</v>
      </c>
      <c r="F91" s="18">
        <v>18</v>
      </c>
      <c r="G91" s="18">
        <v>1</v>
      </c>
      <c r="H91" s="18">
        <v>2</v>
      </c>
      <c r="I91" s="18">
        <v>15</v>
      </c>
      <c r="J91" s="18">
        <v>275</v>
      </c>
      <c r="K91" s="18" t="s">
        <v>20</v>
      </c>
      <c r="L91" s="19">
        <v>408</v>
      </c>
      <c r="M91" s="18">
        <v>1</v>
      </c>
      <c r="N91" s="18" t="s">
        <v>20</v>
      </c>
      <c r="O91" s="19">
        <v>32</v>
      </c>
      <c r="P91" s="17">
        <v>7</v>
      </c>
      <c r="Q91" s="17">
        <f t="shared" si="18"/>
        <v>300002222</v>
      </c>
      <c r="R91" s="17">
        <f t="shared" si="10"/>
        <v>2888742611</v>
      </c>
      <c r="S91" s="17">
        <f t="shared" si="11"/>
        <v>15277034</v>
      </c>
      <c r="T91" s="17">
        <f t="shared" si="12"/>
        <v>43042043</v>
      </c>
      <c r="U91" s="17">
        <f t="shared" si="13"/>
        <v>43</v>
      </c>
      <c r="V91" s="17">
        <f t="shared" si="15"/>
        <v>34</v>
      </c>
      <c r="W91" s="17" t="str">
        <f t="shared" si="19"/>
        <v>LL Platz 10 Rang 1</v>
      </c>
    </row>
    <row r="92" spans="1:23" x14ac:dyDescent="0.35">
      <c r="A92" s="17"/>
      <c r="B92" s="17"/>
      <c r="C92" s="14" t="s">
        <v>432</v>
      </c>
      <c r="D92" s="18">
        <v>1</v>
      </c>
      <c r="E92" s="18" t="s">
        <v>310</v>
      </c>
      <c r="F92" s="18">
        <v>18</v>
      </c>
      <c r="G92" s="18">
        <v>15</v>
      </c>
      <c r="H92" s="18">
        <v>0</v>
      </c>
      <c r="I92" s="18">
        <v>3</v>
      </c>
      <c r="J92" s="18">
        <v>581</v>
      </c>
      <c r="K92" s="18" t="s">
        <v>20</v>
      </c>
      <c r="L92" s="19">
        <v>489</v>
      </c>
      <c r="M92" s="18">
        <v>30</v>
      </c>
      <c r="N92" s="18" t="s">
        <v>20</v>
      </c>
      <c r="O92" s="19">
        <v>6</v>
      </c>
      <c r="P92" s="17">
        <v>7</v>
      </c>
      <c r="Q92" s="17">
        <f t="shared" si="14"/>
        <v>309866666</v>
      </c>
      <c r="R92" s="17">
        <f t="shared" si="10"/>
        <v>8666555111</v>
      </c>
      <c r="S92" s="17">
        <f t="shared" si="11"/>
        <v>32277035</v>
      </c>
      <c r="T92" s="17">
        <f t="shared" si="12"/>
        <v>24003002</v>
      </c>
      <c r="U92" s="17">
        <f t="shared" si="13"/>
        <v>24</v>
      </c>
      <c r="V92" s="17">
        <f t="shared" si="15"/>
        <v>35</v>
      </c>
      <c r="W92" s="17" t="str">
        <f t="shared" si="19"/>
        <v>LL Platz 1 Rang 0</v>
      </c>
    </row>
    <row r="93" spans="1:23" x14ac:dyDescent="0.35">
      <c r="A93" s="17"/>
      <c r="B93" s="17" t="s">
        <v>577</v>
      </c>
      <c r="C93" s="14"/>
      <c r="D93" s="18">
        <v>2</v>
      </c>
      <c r="E93" s="18" t="s">
        <v>312</v>
      </c>
      <c r="F93" s="18">
        <v>18</v>
      </c>
      <c r="G93" s="18">
        <v>13</v>
      </c>
      <c r="H93" s="18">
        <v>2</v>
      </c>
      <c r="I93" s="18">
        <v>3</v>
      </c>
      <c r="J93" s="18">
        <v>519</v>
      </c>
      <c r="K93" s="18" t="s">
        <v>20</v>
      </c>
      <c r="L93" s="19">
        <v>480</v>
      </c>
      <c r="M93" s="18">
        <v>28</v>
      </c>
      <c r="N93" s="18" t="s">
        <v>20</v>
      </c>
      <c r="O93" s="19">
        <v>8</v>
      </c>
      <c r="P93" s="17">
        <v>7</v>
      </c>
      <c r="Q93" s="17">
        <f t="shared" si="18"/>
        <v>300062222</v>
      </c>
      <c r="R93" s="17">
        <f t="shared" si="10"/>
        <v>8222152166</v>
      </c>
      <c r="S93" s="17">
        <f t="shared" si="11"/>
        <v>28833036</v>
      </c>
      <c r="T93" s="17">
        <f t="shared" si="12"/>
        <v>27007010</v>
      </c>
      <c r="U93" s="17">
        <f t="shared" si="13"/>
        <v>27</v>
      </c>
      <c r="V93" s="17">
        <f t="shared" si="15"/>
        <v>36</v>
      </c>
      <c r="W93" s="17" t="str">
        <f t="shared" si="19"/>
        <v>LL Platz 2 Rang 1</v>
      </c>
    </row>
    <row r="94" spans="1:23" x14ac:dyDescent="0.35">
      <c r="A94" s="17"/>
      <c r="B94" s="17" t="s">
        <v>577</v>
      </c>
      <c r="C94" s="14"/>
      <c r="D94" s="18">
        <v>3</v>
      </c>
      <c r="E94" s="18" t="s">
        <v>311</v>
      </c>
      <c r="F94" s="18">
        <v>18</v>
      </c>
      <c r="G94" s="18">
        <v>13</v>
      </c>
      <c r="H94" s="18">
        <v>0</v>
      </c>
      <c r="I94" s="18">
        <v>5</v>
      </c>
      <c r="J94" s="18">
        <v>555</v>
      </c>
      <c r="K94" s="18" t="s">
        <v>20</v>
      </c>
      <c r="L94" s="19">
        <v>474</v>
      </c>
      <c r="M94" s="18">
        <v>26</v>
      </c>
      <c r="N94" s="18" t="s">
        <v>20</v>
      </c>
      <c r="O94" s="19">
        <v>10</v>
      </c>
      <c r="P94" s="17">
        <v>7</v>
      </c>
      <c r="Q94" s="17">
        <f t="shared" si="18"/>
        <v>300057777</v>
      </c>
      <c r="R94" s="17">
        <f t="shared" si="10"/>
        <v>7777654500</v>
      </c>
      <c r="S94" s="17">
        <f t="shared" si="11"/>
        <v>30833037</v>
      </c>
      <c r="T94" s="17">
        <f t="shared" si="12"/>
        <v>28011005</v>
      </c>
      <c r="U94" s="17">
        <f t="shared" si="13"/>
        <v>28</v>
      </c>
      <c r="V94" s="17">
        <f t="shared" si="15"/>
        <v>37</v>
      </c>
      <c r="W94" s="17" t="str">
        <f t="shared" si="19"/>
        <v>LL Platz 3 Rang 0</v>
      </c>
    </row>
    <row r="95" spans="1:23" x14ac:dyDescent="0.35">
      <c r="A95" s="17"/>
      <c r="B95" s="17" t="s">
        <v>577</v>
      </c>
      <c r="C95" s="17"/>
      <c r="D95" s="18">
        <v>4</v>
      </c>
      <c r="E95" s="18" t="s">
        <v>313</v>
      </c>
      <c r="F95" s="18">
        <v>18</v>
      </c>
      <c r="G95" s="18">
        <v>11</v>
      </c>
      <c r="H95" s="18">
        <v>0</v>
      </c>
      <c r="I95" s="18">
        <v>7</v>
      </c>
      <c r="J95" s="18">
        <v>570</v>
      </c>
      <c r="K95" s="18" t="s">
        <v>20</v>
      </c>
      <c r="L95" s="19">
        <v>563</v>
      </c>
      <c r="M95" s="18">
        <v>22</v>
      </c>
      <c r="N95" s="18" t="s">
        <v>20</v>
      </c>
      <c r="O95" s="19">
        <v>14</v>
      </c>
      <c r="P95" s="17">
        <v>7</v>
      </c>
      <c r="Q95" s="17">
        <f t="shared" si="18"/>
        <v>300048888</v>
      </c>
      <c r="R95" s="17">
        <f t="shared" si="10"/>
        <v>6888750388</v>
      </c>
      <c r="S95" s="17">
        <f t="shared" si="11"/>
        <v>31666038</v>
      </c>
      <c r="T95" s="17">
        <f t="shared" si="12"/>
        <v>30019003</v>
      </c>
      <c r="U95" s="17">
        <f t="shared" si="13"/>
        <v>30</v>
      </c>
      <c r="V95" s="17">
        <f t="shared" si="15"/>
        <v>38</v>
      </c>
      <c r="W95" s="17" t="str">
        <f t="shared" si="19"/>
        <v>LL Platz 4 Rang 0</v>
      </c>
    </row>
    <row r="96" spans="1:23" x14ac:dyDescent="0.35">
      <c r="A96" s="17"/>
      <c r="B96" s="17" t="s">
        <v>577</v>
      </c>
      <c r="C96" s="17"/>
      <c r="D96" s="18">
        <v>5</v>
      </c>
      <c r="E96" s="18" t="s">
        <v>49</v>
      </c>
      <c r="F96" s="18">
        <v>18</v>
      </c>
      <c r="G96" s="18">
        <v>8</v>
      </c>
      <c r="H96" s="18">
        <v>0</v>
      </c>
      <c r="I96" s="18">
        <v>10</v>
      </c>
      <c r="J96" s="18">
        <v>529</v>
      </c>
      <c r="K96" s="18" t="s">
        <v>20</v>
      </c>
      <c r="L96" s="19">
        <v>501</v>
      </c>
      <c r="M96" s="18">
        <v>16</v>
      </c>
      <c r="N96" s="18" t="s">
        <v>20</v>
      </c>
      <c r="O96" s="19">
        <v>20</v>
      </c>
      <c r="P96" s="17">
        <v>7</v>
      </c>
      <c r="Q96" s="17">
        <f t="shared" si="18"/>
        <v>300035555</v>
      </c>
      <c r="R96" s="17">
        <f t="shared" si="10"/>
        <v>5555451555</v>
      </c>
      <c r="S96" s="17">
        <f t="shared" si="11"/>
        <v>29388039</v>
      </c>
      <c r="T96" s="17">
        <f t="shared" si="12"/>
        <v>34025009</v>
      </c>
      <c r="U96" s="17">
        <f t="shared" si="13"/>
        <v>34</v>
      </c>
      <c r="V96" s="17">
        <f t="shared" si="15"/>
        <v>39</v>
      </c>
      <c r="W96" s="17" t="str">
        <f t="shared" si="19"/>
        <v>LL Platz 5 Rang 2</v>
      </c>
    </row>
    <row r="97" spans="1:23" x14ac:dyDescent="0.35">
      <c r="A97" s="17"/>
      <c r="B97" s="17" t="s">
        <v>577</v>
      </c>
      <c r="C97" s="17"/>
      <c r="D97" s="18">
        <v>6</v>
      </c>
      <c r="E97" s="18" t="s">
        <v>314</v>
      </c>
      <c r="F97" s="18">
        <v>18</v>
      </c>
      <c r="G97" s="18">
        <v>7</v>
      </c>
      <c r="H97" s="18">
        <v>1</v>
      </c>
      <c r="I97" s="18">
        <v>10</v>
      </c>
      <c r="J97" s="18">
        <v>531</v>
      </c>
      <c r="K97" s="18" t="s">
        <v>20</v>
      </c>
      <c r="L97" s="19">
        <v>552</v>
      </c>
      <c r="M97" s="18">
        <v>15</v>
      </c>
      <c r="N97" s="18" t="s">
        <v>20</v>
      </c>
      <c r="O97" s="19">
        <v>21</v>
      </c>
      <c r="P97" s="17">
        <v>7</v>
      </c>
      <c r="Q97" s="17">
        <f t="shared" si="18"/>
        <v>300033333</v>
      </c>
      <c r="R97" s="17">
        <f t="shared" si="10"/>
        <v>5333248833</v>
      </c>
      <c r="S97" s="17">
        <f t="shared" si="11"/>
        <v>29500040</v>
      </c>
      <c r="T97" s="17">
        <f t="shared" si="12"/>
        <v>36028008</v>
      </c>
      <c r="U97" s="17">
        <f t="shared" si="13"/>
        <v>36</v>
      </c>
      <c r="V97" s="17">
        <f t="shared" si="15"/>
        <v>40</v>
      </c>
      <c r="W97" s="17" t="str">
        <f t="shared" si="19"/>
        <v>LL Platz 6 Rang 2</v>
      </c>
    </row>
    <row r="98" spans="1:23" x14ac:dyDescent="0.35">
      <c r="A98" s="17"/>
      <c r="B98" s="17" t="s">
        <v>577</v>
      </c>
      <c r="C98" s="17"/>
      <c r="D98" s="18">
        <v>7</v>
      </c>
      <c r="E98" s="18" t="s">
        <v>315</v>
      </c>
      <c r="F98" s="18">
        <v>18</v>
      </c>
      <c r="G98" s="18">
        <v>5</v>
      </c>
      <c r="H98" s="18">
        <v>2</v>
      </c>
      <c r="I98" s="18">
        <v>11</v>
      </c>
      <c r="J98" s="18">
        <v>516</v>
      </c>
      <c r="K98" s="18" t="s">
        <v>20</v>
      </c>
      <c r="L98" s="19">
        <v>548</v>
      </c>
      <c r="M98" s="18">
        <v>12</v>
      </c>
      <c r="N98" s="18" t="s">
        <v>20</v>
      </c>
      <c r="O98" s="19">
        <v>24</v>
      </c>
      <c r="P98" s="17">
        <v>7</v>
      </c>
      <c r="Q98" s="17">
        <f t="shared" si="18"/>
        <v>300026666</v>
      </c>
      <c r="R98" s="17">
        <f t="shared" si="10"/>
        <v>4666548222</v>
      </c>
      <c r="S98" s="17">
        <f t="shared" si="11"/>
        <v>28666041</v>
      </c>
      <c r="T98" s="17">
        <f t="shared" si="12"/>
        <v>37033012</v>
      </c>
      <c r="U98" s="17">
        <f t="shared" si="13"/>
        <v>37</v>
      </c>
      <c r="V98" s="17">
        <f t="shared" si="15"/>
        <v>41</v>
      </c>
      <c r="W98" s="17" t="str">
        <f t="shared" si="19"/>
        <v>LL Platz 7 Rang 1</v>
      </c>
    </row>
    <row r="99" spans="1:23" x14ac:dyDescent="0.35">
      <c r="A99" s="17"/>
      <c r="B99" s="17" t="s">
        <v>577</v>
      </c>
      <c r="C99" s="17"/>
      <c r="D99" s="18">
        <v>8</v>
      </c>
      <c r="E99" s="18" t="s">
        <v>316</v>
      </c>
      <c r="F99" s="18">
        <v>18</v>
      </c>
      <c r="G99" s="18">
        <v>5</v>
      </c>
      <c r="H99" s="18">
        <v>3</v>
      </c>
      <c r="I99" s="18">
        <v>10</v>
      </c>
      <c r="J99" s="18">
        <v>517</v>
      </c>
      <c r="K99" s="18" t="s">
        <v>20</v>
      </c>
      <c r="L99" s="19">
        <v>545</v>
      </c>
      <c r="M99" s="18">
        <v>11</v>
      </c>
      <c r="N99" s="18" t="s">
        <v>20</v>
      </c>
      <c r="O99" s="19">
        <v>23</v>
      </c>
      <c r="P99" s="17">
        <v>7</v>
      </c>
      <c r="Q99" s="17">
        <f t="shared" si="18"/>
        <v>300024444</v>
      </c>
      <c r="R99" s="17">
        <f t="shared" si="10"/>
        <v>4888748444</v>
      </c>
      <c r="S99" s="17">
        <f t="shared" si="11"/>
        <v>28722042</v>
      </c>
      <c r="T99" s="17">
        <f t="shared" si="12"/>
        <v>38032011</v>
      </c>
      <c r="U99" s="17">
        <f t="shared" si="13"/>
        <v>38</v>
      </c>
      <c r="V99" s="17">
        <f t="shared" si="15"/>
        <v>42</v>
      </c>
      <c r="W99" s="17" t="str">
        <f t="shared" si="19"/>
        <v>LL Platz 8 Rang 0</v>
      </c>
    </row>
    <row r="100" spans="1:23" x14ac:dyDescent="0.35">
      <c r="A100" s="17"/>
      <c r="B100" s="17" t="s">
        <v>577</v>
      </c>
      <c r="C100" s="17"/>
      <c r="D100" s="18">
        <v>9</v>
      </c>
      <c r="E100" s="18" t="s">
        <v>317</v>
      </c>
      <c r="F100" s="18">
        <v>18</v>
      </c>
      <c r="G100" s="18">
        <v>4</v>
      </c>
      <c r="H100" s="18">
        <v>3</v>
      </c>
      <c r="I100" s="18">
        <v>11</v>
      </c>
      <c r="J100" s="18">
        <v>406</v>
      </c>
      <c r="K100" s="18" t="s">
        <v>20</v>
      </c>
      <c r="L100" s="19">
        <v>474</v>
      </c>
      <c r="M100" s="18">
        <v>11</v>
      </c>
      <c r="N100" s="18" t="s">
        <v>20</v>
      </c>
      <c r="O100" s="19">
        <v>25</v>
      </c>
      <c r="P100" s="17">
        <v>7</v>
      </c>
      <c r="Q100" s="17">
        <f t="shared" si="18"/>
        <v>300024444</v>
      </c>
      <c r="R100" s="17">
        <f t="shared" si="10"/>
        <v>4444346222</v>
      </c>
      <c r="S100" s="17">
        <f t="shared" si="11"/>
        <v>22555043</v>
      </c>
      <c r="T100" s="17">
        <f t="shared" si="12"/>
        <v>38035035</v>
      </c>
      <c r="U100" s="17">
        <f t="shared" si="13"/>
        <v>39</v>
      </c>
      <c r="V100" s="17">
        <f t="shared" si="15"/>
        <v>43</v>
      </c>
      <c r="W100" s="17" t="str">
        <f t="shared" si="19"/>
        <v>LL Platz 9 Rang -1</v>
      </c>
    </row>
    <row r="101" spans="1:23" x14ac:dyDescent="0.35">
      <c r="A101" s="17"/>
      <c r="B101" s="17" t="s">
        <v>577</v>
      </c>
      <c r="C101" s="17"/>
      <c r="D101" s="18">
        <v>10</v>
      </c>
      <c r="E101" s="18" t="s">
        <v>318</v>
      </c>
      <c r="F101" s="18">
        <v>18</v>
      </c>
      <c r="G101" s="18">
        <v>2</v>
      </c>
      <c r="H101" s="18">
        <v>3</v>
      </c>
      <c r="I101" s="18">
        <v>13</v>
      </c>
      <c r="J101" s="18">
        <v>430</v>
      </c>
      <c r="K101" s="18" t="s">
        <v>20</v>
      </c>
      <c r="L101" s="19">
        <v>528</v>
      </c>
      <c r="M101" s="18">
        <v>7</v>
      </c>
      <c r="N101" s="18" t="s">
        <v>20</v>
      </c>
      <c r="O101" s="19">
        <v>29</v>
      </c>
      <c r="P101" s="17">
        <v>7</v>
      </c>
      <c r="Q101" s="17">
        <f t="shared" si="18"/>
        <v>300015555</v>
      </c>
      <c r="R101" s="17">
        <f t="shared" si="10"/>
        <v>3555444555</v>
      </c>
      <c r="S101" s="17">
        <f t="shared" si="11"/>
        <v>23888044</v>
      </c>
      <c r="T101" s="17">
        <f t="shared" si="12"/>
        <v>40038032</v>
      </c>
      <c r="U101" s="17">
        <f t="shared" si="13"/>
        <v>41</v>
      </c>
      <c r="V101" s="17">
        <f t="shared" si="15"/>
        <v>44</v>
      </c>
      <c r="W101" s="17" t="str">
        <f t="shared" si="19"/>
        <v>LL Platz 10 Rang -1</v>
      </c>
    </row>
    <row r="102" spans="1:23" x14ac:dyDescent="0.3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x14ac:dyDescent="0.3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20"/>
      <c r="M103" s="17"/>
      <c r="N103" s="17"/>
      <c r="O103" s="20"/>
      <c r="P103" s="17"/>
      <c r="Q103" s="17"/>
      <c r="R103" s="17"/>
      <c r="S103" s="17"/>
      <c r="T103" s="17"/>
      <c r="U103" s="17"/>
      <c r="V103" s="17"/>
      <c r="W103" s="17"/>
    </row>
    <row r="104" spans="1:23" x14ac:dyDescent="0.3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20"/>
      <c r="M104" s="17"/>
      <c r="N104" s="17"/>
      <c r="O104" s="20"/>
      <c r="P104" s="17"/>
      <c r="Q104" s="17"/>
      <c r="R104" s="17"/>
      <c r="S104" s="17"/>
      <c r="T104" s="17"/>
      <c r="U104" s="17"/>
      <c r="V104" s="17"/>
      <c r="W104" s="17"/>
    </row>
    <row r="105" spans="1:23" x14ac:dyDescent="0.3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20"/>
      <c r="M105" s="17"/>
      <c r="N105" s="17"/>
      <c r="O105" s="20"/>
      <c r="P105" s="17"/>
      <c r="Q105" s="17"/>
      <c r="R105" s="17"/>
      <c r="S105" s="17"/>
      <c r="T105" s="17"/>
      <c r="U105" s="17"/>
      <c r="V105" s="17"/>
      <c r="W105" s="17"/>
    </row>
    <row r="106" spans="1:23" x14ac:dyDescent="0.3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x14ac:dyDescent="0.3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F6B6-561C-4592-ADA7-D729C4B4104A}">
  <dimension ref="A1:W131"/>
  <sheetViews>
    <sheetView workbookViewId="0">
      <selection activeCell="D2" sqref="D2"/>
    </sheetView>
  </sheetViews>
  <sheetFormatPr baseColWidth="10" defaultRowHeight="14.5" x14ac:dyDescent="0.35"/>
  <cols>
    <col min="1" max="1" width="3.6328125" customWidth="1"/>
    <col min="2" max="2" width="11.453125" bestFit="1" customWidth="1"/>
    <col min="4" max="4" width="2.6328125" customWidth="1"/>
    <col min="5" max="5" width="32.7265625" bestFit="1" customWidth="1"/>
    <col min="6" max="9" width="4.6328125" customWidth="1"/>
    <col min="11" max="11" width="1.36328125" bestFit="1" customWidth="1"/>
    <col min="12" max="13" width="4.6328125" customWidth="1"/>
    <col min="14" max="14" width="1.36328125" bestFit="1" customWidth="1"/>
    <col min="15" max="15" width="3.6328125" customWidth="1"/>
    <col min="16" max="16" width="4.6328125" customWidth="1"/>
    <col min="17" max="17" width="10.54296875" customWidth="1"/>
    <col min="18" max="18" width="6.81640625" customWidth="1"/>
    <col min="19" max="19" width="9.81640625" customWidth="1"/>
    <col min="21" max="21" width="7.08984375" bestFit="1" customWidth="1"/>
    <col min="22" max="22" width="3.81640625" bestFit="1" customWidth="1"/>
    <col min="23" max="23" width="16.7265625" bestFit="1" customWidth="1"/>
  </cols>
  <sheetData>
    <row r="1" spans="1:23" x14ac:dyDescent="0.3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5" t="s">
        <v>198</v>
      </c>
      <c r="Q2" s="15" t="s">
        <v>199</v>
      </c>
      <c r="R2" s="15" t="s">
        <v>202</v>
      </c>
      <c r="S2" s="15" t="s">
        <v>201</v>
      </c>
      <c r="T2" s="15" t="s">
        <v>505</v>
      </c>
      <c r="U2" s="15" t="s">
        <v>203</v>
      </c>
      <c r="V2" s="15" t="s">
        <v>200</v>
      </c>
      <c r="W2" s="15" t="s">
        <v>521</v>
      </c>
    </row>
    <row r="3" spans="1:23" x14ac:dyDescent="0.35">
      <c r="A3" s="17"/>
      <c r="B3" s="16" t="s">
        <v>541</v>
      </c>
      <c r="C3" s="16" t="s">
        <v>506</v>
      </c>
      <c r="D3" s="18">
        <v>1</v>
      </c>
      <c r="E3" s="18" t="s">
        <v>351</v>
      </c>
      <c r="F3" s="18">
        <v>26</v>
      </c>
      <c r="G3" s="18">
        <v>24</v>
      </c>
      <c r="H3" s="18">
        <v>0</v>
      </c>
      <c r="I3" s="18">
        <v>2</v>
      </c>
      <c r="J3" s="18">
        <v>858</v>
      </c>
      <c r="K3" s="18" t="s">
        <v>20</v>
      </c>
      <c r="L3" s="19">
        <v>710</v>
      </c>
      <c r="M3" s="18">
        <v>48</v>
      </c>
      <c r="N3" s="18" t="s">
        <v>20</v>
      </c>
      <c r="O3" s="19">
        <v>4</v>
      </c>
      <c r="P3" s="17">
        <v>5</v>
      </c>
      <c r="Q3" s="17">
        <f>INT(40000*M3/F3)+100000*(99-D3+1000*(10-P3))</f>
        <v>509873846</v>
      </c>
      <c r="R3" s="17">
        <f t="shared" ref="R3:R34" si="0">INT(1000*((J3-L3)/F3+50))</f>
        <v>55692</v>
      </c>
      <c r="S3" s="17">
        <f t="shared" ref="S3:S34" si="1">V3+1000*(INT(1000*J3/F3))</f>
        <v>33000001</v>
      </c>
      <c r="T3" s="17">
        <f t="shared" ref="T3:T34" si="2">RANK(S3,S$3:S$48)+1000*RANK(R3,R$3:R$48)+1000000*RANK(Q3,Q$3:Q$48)</f>
        <v>1007004</v>
      </c>
      <c r="U3" s="17">
        <f t="shared" ref="U3:U34" si="3">RANK(T3,T$3:T$48,1)</f>
        <v>1</v>
      </c>
      <c r="V3" s="17">
        <v>1</v>
      </c>
      <c r="W3" s="17" t="str">
        <f>"OLPlatz "&amp;D3</f>
        <v>OLPlatz 1</v>
      </c>
    </row>
    <row r="4" spans="1:23" x14ac:dyDescent="0.35">
      <c r="A4" s="17"/>
      <c r="B4" s="17"/>
      <c r="C4" s="16"/>
      <c r="D4" s="18">
        <v>2</v>
      </c>
      <c r="E4" s="18" t="s">
        <v>350</v>
      </c>
      <c r="F4" s="18">
        <v>26</v>
      </c>
      <c r="G4" s="18">
        <v>23</v>
      </c>
      <c r="H4" s="18">
        <v>1</v>
      </c>
      <c r="I4" s="18">
        <v>2</v>
      </c>
      <c r="J4" s="18">
        <v>886</v>
      </c>
      <c r="K4" s="18" t="s">
        <v>20</v>
      </c>
      <c r="L4" s="19">
        <v>702</v>
      </c>
      <c r="M4" s="18">
        <v>47</v>
      </c>
      <c r="N4" s="18" t="s">
        <v>20</v>
      </c>
      <c r="O4" s="19">
        <v>5</v>
      </c>
      <c r="P4" s="17">
        <v>5</v>
      </c>
      <c r="Q4" s="17">
        <f t="shared" ref="Q4:Q48" si="4">INT(40000*M4/F4)+100000*(99-D4+1000*(10-P4))</f>
        <v>509772307</v>
      </c>
      <c r="R4" s="17">
        <f t="shared" si="0"/>
        <v>57076</v>
      </c>
      <c r="S4" s="17">
        <f t="shared" si="1"/>
        <v>34076002</v>
      </c>
      <c r="T4" s="17">
        <f t="shared" si="2"/>
        <v>2005002</v>
      </c>
      <c r="U4" s="17">
        <f t="shared" si="3"/>
        <v>2</v>
      </c>
      <c r="V4" s="17">
        <f>+V3+1</f>
        <v>2</v>
      </c>
      <c r="W4" s="17" t="str">
        <f t="shared" ref="W4:W16" si="5">"OLPlatz "&amp;D4</f>
        <v>OLPlatz 2</v>
      </c>
    </row>
    <row r="5" spans="1:23" x14ac:dyDescent="0.35">
      <c r="A5" s="17"/>
      <c r="B5" s="17"/>
      <c r="C5" s="16"/>
      <c r="D5" s="18">
        <v>3</v>
      </c>
      <c r="E5" s="18" t="s">
        <v>352</v>
      </c>
      <c r="F5" s="18">
        <v>26</v>
      </c>
      <c r="G5" s="18">
        <v>20</v>
      </c>
      <c r="H5" s="18">
        <v>0</v>
      </c>
      <c r="I5" s="18">
        <v>6</v>
      </c>
      <c r="J5" s="18">
        <v>833</v>
      </c>
      <c r="K5" s="18" t="s">
        <v>20</v>
      </c>
      <c r="L5" s="19">
        <v>718</v>
      </c>
      <c r="M5" s="18">
        <v>40</v>
      </c>
      <c r="N5" s="18" t="s">
        <v>20</v>
      </c>
      <c r="O5" s="19">
        <v>12</v>
      </c>
      <c r="P5" s="17">
        <v>5</v>
      </c>
      <c r="Q5" s="17">
        <f t="shared" si="4"/>
        <v>509661538</v>
      </c>
      <c r="R5" s="17">
        <f t="shared" si="0"/>
        <v>54423</v>
      </c>
      <c r="S5" s="17">
        <f t="shared" si="1"/>
        <v>32038003</v>
      </c>
      <c r="T5" s="17">
        <f t="shared" si="2"/>
        <v>3009007</v>
      </c>
      <c r="U5" s="17">
        <f t="shared" si="3"/>
        <v>3</v>
      </c>
      <c r="V5" s="17">
        <f t="shared" ref="V5:V48" si="6">+V4+1</f>
        <v>3</v>
      </c>
      <c r="W5" s="17" t="str">
        <f t="shared" si="5"/>
        <v>OLPlatz 3</v>
      </c>
    </row>
    <row r="6" spans="1:23" x14ac:dyDescent="0.35">
      <c r="A6" s="17"/>
      <c r="B6" s="17"/>
      <c r="C6" s="16"/>
      <c r="D6" s="18">
        <v>4</v>
      </c>
      <c r="E6" s="18" t="s">
        <v>355</v>
      </c>
      <c r="F6" s="18">
        <v>26</v>
      </c>
      <c r="G6" s="18">
        <v>16</v>
      </c>
      <c r="H6" s="18">
        <v>1</v>
      </c>
      <c r="I6" s="18">
        <v>9</v>
      </c>
      <c r="J6" s="18">
        <v>820</v>
      </c>
      <c r="K6" s="18" t="s">
        <v>20</v>
      </c>
      <c r="L6" s="19">
        <v>766</v>
      </c>
      <c r="M6" s="18">
        <v>33</v>
      </c>
      <c r="N6" s="18" t="s">
        <v>20</v>
      </c>
      <c r="O6" s="19">
        <v>19</v>
      </c>
      <c r="P6" s="17">
        <v>5</v>
      </c>
      <c r="Q6" s="17">
        <f t="shared" si="4"/>
        <v>509550769</v>
      </c>
      <c r="R6" s="17">
        <f t="shared" si="0"/>
        <v>52076</v>
      </c>
      <c r="S6" s="17">
        <f t="shared" si="1"/>
        <v>31538004</v>
      </c>
      <c r="T6" s="17">
        <f t="shared" si="2"/>
        <v>4017008</v>
      </c>
      <c r="U6" s="17">
        <f t="shared" si="3"/>
        <v>4</v>
      </c>
      <c r="V6" s="17">
        <f t="shared" si="6"/>
        <v>4</v>
      </c>
      <c r="W6" s="17" t="str">
        <f t="shared" si="5"/>
        <v>OLPlatz 4</v>
      </c>
    </row>
    <row r="7" spans="1:23" x14ac:dyDescent="0.35">
      <c r="A7" s="17"/>
      <c r="B7" s="17"/>
      <c r="C7" s="16"/>
      <c r="D7" s="18">
        <v>5</v>
      </c>
      <c r="E7" s="18" t="s">
        <v>354</v>
      </c>
      <c r="F7" s="18">
        <v>26</v>
      </c>
      <c r="G7" s="18">
        <v>15</v>
      </c>
      <c r="H7" s="18">
        <v>1</v>
      </c>
      <c r="I7" s="18">
        <v>10</v>
      </c>
      <c r="J7" s="18">
        <v>880</v>
      </c>
      <c r="K7" s="18" t="s">
        <v>20</v>
      </c>
      <c r="L7" s="19">
        <v>814</v>
      </c>
      <c r="M7" s="18">
        <v>31</v>
      </c>
      <c r="N7" s="18" t="s">
        <v>20</v>
      </c>
      <c r="O7" s="19">
        <v>21</v>
      </c>
      <c r="P7" s="17">
        <v>5</v>
      </c>
      <c r="Q7" s="17">
        <f t="shared" si="4"/>
        <v>509447692</v>
      </c>
      <c r="R7" s="17">
        <f t="shared" si="0"/>
        <v>52538</v>
      </c>
      <c r="S7" s="17">
        <f t="shared" si="1"/>
        <v>33846005</v>
      </c>
      <c r="T7" s="17">
        <f t="shared" si="2"/>
        <v>5016003</v>
      </c>
      <c r="U7" s="17">
        <f t="shared" si="3"/>
        <v>5</v>
      </c>
      <c r="V7" s="17">
        <f t="shared" si="6"/>
        <v>5</v>
      </c>
      <c r="W7" s="17" t="str">
        <f t="shared" si="5"/>
        <v>OLPlatz 5</v>
      </c>
    </row>
    <row r="8" spans="1:23" x14ac:dyDescent="0.35">
      <c r="A8" s="17"/>
      <c r="B8" s="17"/>
      <c r="C8" s="16"/>
      <c r="D8" s="18">
        <v>6</v>
      </c>
      <c r="E8" s="18" t="s">
        <v>353</v>
      </c>
      <c r="F8" s="18">
        <v>26</v>
      </c>
      <c r="G8" s="18">
        <v>13</v>
      </c>
      <c r="H8" s="18">
        <v>1</v>
      </c>
      <c r="I8" s="18">
        <v>12</v>
      </c>
      <c r="J8" s="18">
        <v>782</v>
      </c>
      <c r="K8" s="18" t="s">
        <v>20</v>
      </c>
      <c r="L8" s="19">
        <v>792</v>
      </c>
      <c r="M8" s="18">
        <v>27</v>
      </c>
      <c r="N8" s="18" t="s">
        <v>20</v>
      </c>
      <c r="O8" s="19">
        <v>25</v>
      </c>
      <c r="P8" s="17">
        <v>5</v>
      </c>
      <c r="Q8" s="17">
        <f t="shared" si="4"/>
        <v>509341538</v>
      </c>
      <c r="R8" s="17">
        <f t="shared" si="0"/>
        <v>49615</v>
      </c>
      <c r="S8" s="17">
        <f t="shared" si="1"/>
        <v>30076006</v>
      </c>
      <c r="T8" s="17">
        <f t="shared" si="2"/>
        <v>6026014</v>
      </c>
      <c r="U8" s="17">
        <f t="shared" si="3"/>
        <v>6</v>
      </c>
      <c r="V8" s="17">
        <f t="shared" si="6"/>
        <v>6</v>
      </c>
      <c r="W8" s="17" t="str">
        <f t="shared" si="5"/>
        <v>OLPlatz 6</v>
      </c>
    </row>
    <row r="9" spans="1:23" x14ac:dyDescent="0.35">
      <c r="A9" s="17"/>
      <c r="B9" s="17"/>
      <c r="C9" s="16"/>
      <c r="D9" s="18">
        <v>7</v>
      </c>
      <c r="E9" s="18" t="s">
        <v>358</v>
      </c>
      <c r="F9" s="18">
        <v>26</v>
      </c>
      <c r="G9" s="18">
        <v>11</v>
      </c>
      <c r="H9" s="18">
        <v>1</v>
      </c>
      <c r="I9" s="18">
        <v>14</v>
      </c>
      <c r="J9" s="18">
        <v>700</v>
      </c>
      <c r="K9" s="18" t="s">
        <v>20</v>
      </c>
      <c r="L9" s="19">
        <v>725</v>
      </c>
      <c r="M9" s="18">
        <v>23</v>
      </c>
      <c r="N9" s="18" t="s">
        <v>20</v>
      </c>
      <c r="O9" s="19">
        <v>29</v>
      </c>
      <c r="P9" s="17">
        <v>5</v>
      </c>
      <c r="Q9" s="17">
        <f t="shared" si="4"/>
        <v>509235384</v>
      </c>
      <c r="R9" s="17">
        <f t="shared" si="0"/>
        <v>49038</v>
      </c>
      <c r="S9" s="17">
        <f t="shared" si="1"/>
        <v>26923007</v>
      </c>
      <c r="T9" s="17">
        <f t="shared" si="2"/>
        <v>7029037</v>
      </c>
      <c r="U9" s="17">
        <f t="shared" si="3"/>
        <v>7</v>
      </c>
      <c r="V9" s="17">
        <f t="shared" si="6"/>
        <v>7</v>
      </c>
      <c r="W9" s="17" t="str">
        <f t="shared" si="5"/>
        <v>OLPlatz 7</v>
      </c>
    </row>
    <row r="10" spans="1:23" x14ac:dyDescent="0.35">
      <c r="A10" s="17"/>
      <c r="B10" s="17"/>
      <c r="C10" s="16"/>
      <c r="D10" s="18">
        <v>8</v>
      </c>
      <c r="E10" s="18" t="s">
        <v>359</v>
      </c>
      <c r="F10" s="18">
        <v>26</v>
      </c>
      <c r="G10" s="18">
        <v>11</v>
      </c>
      <c r="H10" s="18">
        <v>1</v>
      </c>
      <c r="I10" s="18">
        <v>14</v>
      </c>
      <c r="J10" s="18">
        <v>766</v>
      </c>
      <c r="K10" s="18" t="s">
        <v>20</v>
      </c>
      <c r="L10" s="19">
        <v>790</v>
      </c>
      <c r="M10" s="18">
        <v>23</v>
      </c>
      <c r="N10" s="18" t="s">
        <v>20</v>
      </c>
      <c r="O10" s="19">
        <v>29</v>
      </c>
      <c r="P10" s="17">
        <v>5</v>
      </c>
      <c r="Q10" s="17">
        <f t="shared" si="4"/>
        <v>509135384</v>
      </c>
      <c r="R10" s="17">
        <f t="shared" si="0"/>
        <v>49076</v>
      </c>
      <c r="S10" s="17">
        <f t="shared" si="1"/>
        <v>29461008</v>
      </c>
      <c r="T10" s="17">
        <f t="shared" si="2"/>
        <v>8027020</v>
      </c>
      <c r="U10" s="17">
        <f t="shared" si="3"/>
        <v>8</v>
      </c>
      <c r="V10" s="17">
        <f t="shared" si="6"/>
        <v>8</v>
      </c>
      <c r="W10" s="17" t="str">
        <f t="shared" si="5"/>
        <v>OLPlatz 8</v>
      </c>
    </row>
    <row r="11" spans="1:23" x14ac:dyDescent="0.35">
      <c r="A11" s="17"/>
      <c r="B11" s="17"/>
      <c r="C11" s="16"/>
      <c r="D11" s="18">
        <v>9</v>
      </c>
      <c r="E11" s="18" t="s">
        <v>357</v>
      </c>
      <c r="F11" s="18">
        <v>26</v>
      </c>
      <c r="G11" s="18">
        <v>10</v>
      </c>
      <c r="H11" s="18">
        <v>3</v>
      </c>
      <c r="I11" s="18">
        <v>13</v>
      </c>
      <c r="J11" s="18">
        <v>781</v>
      </c>
      <c r="K11" s="18" t="s">
        <v>20</v>
      </c>
      <c r="L11" s="19">
        <v>781</v>
      </c>
      <c r="M11" s="18">
        <v>23</v>
      </c>
      <c r="N11" s="18" t="s">
        <v>20</v>
      </c>
      <c r="O11" s="19">
        <v>29</v>
      </c>
      <c r="P11" s="17">
        <v>5</v>
      </c>
      <c r="Q11" s="17">
        <f t="shared" si="4"/>
        <v>509035384</v>
      </c>
      <c r="R11" s="17">
        <f t="shared" si="0"/>
        <v>50000</v>
      </c>
      <c r="S11" s="17">
        <f t="shared" si="1"/>
        <v>30038009</v>
      </c>
      <c r="T11" s="17">
        <f t="shared" si="2"/>
        <v>9024015</v>
      </c>
      <c r="U11" s="17">
        <f t="shared" si="3"/>
        <v>9</v>
      </c>
      <c r="V11" s="17">
        <f t="shared" si="6"/>
        <v>9</v>
      </c>
      <c r="W11" s="17" t="str">
        <f t="shared" si="5"/>
        <v>OLPlatz 9</v>
      </c>
    </row>
    <row r="12" spans="1:23" x14ac:dyDescent="0.35">
      <c r="A12" s="17"/>
      <c r="B12" s="17"/>
      <c r="C12" s="16"/>
      <c r="D12" s="18">
        <v>10</v>
      </c>
      <c r="E12" s="18" t="s">
        <v>356</v>
      </c>
      <c r="F12" s="18">
        <v>26</v>
      </c>
      <c r="G12" s="18">
        <v>9</v>
      </c>
      <c r="H12" s="18">
        <v>3</v>
      </c>
      <c r="I12" s="18">
        <v>14</v>
      </c>
      <c r="J12" s="18">
        <v>743</v>
      </c>
      <c r="K12" s="18" t="s">
        <v>20</v>
      </c>
      <c r="L12" s="19">
        <v>785</v>
      </c>
      <c r="M12" s="18">
        <v>21</v>
      </c>
      <c r="N12" s="18" t="s">
        <v>20</v>
      </c>
      <c r="O12" s="19">
        <v>31</v>
      </c>
      <c r="P12" s="17">
        <v>5</v>
      </c>
      <c r="Q12" s="17">
        <f t="shared" si="4"/>
        <v>508932307</v>
      </c>
      <c r="R12" s="17">
        <f t="shared" si="0"/>
        <v>48384</v>
      </c>
      <c r="S12" s="17">
        <f t="shared" si="1"/>
        <v>28576010</v>
      </c>
      <c r="T12" s="17">
        <f t="shared" si="2"/>
        <v>10031027</v>
      </c>
      <c r="U12" s="17">
        <f t="shared" si="3"/>
        <v>10</v>
      </c>
      <c r="V12" s="17">
        <f t="shared" si="6"/>
        <v>10</v>
      </c>
      <c r="W12" s="17" t="str">
        <f t="shared" si="5"/>
        <v>OLPlatz 10</v>
      </c>
    </row>
    <row r="13" spans="1:23" x14ac:dyDescent="0.35">
      <c r="A13" s="17"/>
      <c r="B13" s="17"/>
      <c r="C13" s="16"/>
      <c r="D13" s="18">
        <v>11</v>
      </c>
      <c r="E13" s="18" t="s">
        <v>360</v>
      </c>
      <c r="F13" s="18">
        <v>26</v>
      </c>
      <c r="G13" s="18">
        <v>9</v>
      </c>
      <c r="H13" s="18">
        <v>2</v>
      </c>
      <c r="I13" s="18">
        <v>15</v>
      </c>
      <c r="J13" s="18">
        <v>739</v>
      </c>
      <c r="K13" s="18" t="s">
        <v>20</v>
      </c>
      <c r="L13" s="19">
        <v>763</v>
      </c>
      <c r="M13" s="18">
        <v>20</v>
      </c>
      <c r="N13" s="18" t="s">
        <v>20</v>
      </c>
      <c r="O13" s="19">
        <v>32</v>
      </c>
      <c r="P13" s="17">
        <v>5</v>
      </c>
      <c r="Q13" s="17">
        <f t="shared" si="4"/>
        <v>508830769</v>
      </c>
      <c r="R13" s="17">
        <f t="shared" si="0"/>
        <v>49076</v>
      </c>
      <c r="S13" s="17">
        <f t="shared" si="1"/>
        <v>28423011</v>
      </c>
      <c r="T13" s="17">
        <f t="shared" si="2"/>
        <v>11027028</v>
      </c>
      <c r="U13" s="17">
        <f t="shared" si="3"/>
        <v>11</v>
      </c>
      <c r="V13" s="17">
        <f t="shared" si="6"/>
        <v>11</v>
      </c>
      <c r="W13" s="17" t="str">
        <f t="shared" si="5"/>
        <v>OLPlatz 11</v>
      </c>
    </row>
    <row r="14" spans="1:23" x14ac:dyDescent="0.35">
      <c r="A14" s="17"/>
      <c r="B14" s="17"/>
      <c r="C14" s="16"/>
      <c r="D14" s="18">
        <v>12</v>
      </c>
      <c r="E14" s="18" t="s">
        <v>362</v>
      </c>
      <c r="F14" s="18">
        <v>26</v>
      </c>
      <c r="G14" s="18">
        <v>5</v>
      </c>
      <c r="H14" s="18">
        <v>1</v>
      </c>
      <c r="I14" s="18">
        <v>20</v>
      </c>
      <c r="J14" s="18">
        <v>731</v>
      </c>
      <c r="K14" s="18" t="s">
        <v>20</v>
      </c>
      <c r="L14" s="19">
        <v>861</v>
      </c>
      <c r="M14" s="18">
        <v>11</v>
      </c>
      <c r="N14" s="18" t="s">
        <v>20</v>
      </c>
      <c r="O14" s="19">
        <v>41</v>
      </c>
      <c r="P14" s="17">
        <v>5</v>
      </c>
      <c r="Q14" s="17">
        <f t="shared" si="4"/>
        <v>508716923</v>
      </c>
      <c r="R14" s="17">
        <f t="shared" si="0"/>
        <v>45000</v>
      </c>
      <c r="S14" s="17">
        <f t="shared" si="1"/>
        <v>28115012</v>
      </c>
      <c r="T14" s="17">
        <f t="shared" si="2"/>
        <v>12044032</v>
      </c>
      <c r="U14" s="17">
        <f t="shared" si="3"/>
        <v>12</v>
      </c>
      <c r="V14" s="17">
        <f t="shared" si="6"/>
        <v>12</v>
      </c>
      <c r="W14" s="17" t="str">
        <f t="shared" si="5"/>
        <v>OLPlatz 12</v>
      </c>
    </row>
    <row r="15" spans="1:23" x14ac:dyDescent="0.35">
      <c r="A15" s="17"/>
      <c r="B15" s="17"/>
      <c r="C15" s="16"/>
      <c r="D15" s="18">
        <v>13</v>
      </c>
      <c r="E15" s="18" t="s">
        <v>361</v>
      </c>
      <c r="F15" s="18">
        <v>26</v>
      </c>
      <c r="G15" s="18">
        <v>4</v>
      </c>
      <c r="H15" s="18">
        <v>2</v>
      </c>
      <c r="I15" s="18">
        <v>20</v>
      </c>
      <c r="J15" s="18">
        <v>736</v>
      </c>
      <c r="K15" s="18" t="s">
        <v>20</v>
      </c>
      <c r="L15" s="19">
        <v>860</v>
      </c>
      <c r="M15" s="18">
        <v>10</v>
      </c>
      <c r="N15" s="18" t="s">
        <v>20</v>
      </c>
      <c r="O15" s="19">
        <v>42</v>
      </c>
      <c r="P15" s="17">
        <v>5</v>
      </c>
      <c r="Q15" s="17">
        <f t="shared" si="4"/>
        <v>508615384</v>
      </c>
      <c r="R15" s="17">
        <f t="shared" si="0"/>
        <v>45230</v>
      </c>
      <c r="S15" s="17">
        <f t="shared" si="1"/>
        <v>28307013</v>
      </c>
      <c r="T15" s="17">
        <f t="shared" si="2"/>
        <v>13043031</v>
      </c>
      <c r="U15" s="17">
        <f t="shared" si="3"/>
        <v>13</v>
      </c>
      <c r="V15" s="17">
        <f t="shared" si="6"/>
        <v>13</v>
      </c>
      <c r="W15" s="17" t="str">
        <f t="shared" si="5"/>
        <v>OLPlatz 13</v>
      </c>
    </row>
    <row r="16" spans="1:23" x14ac:dyDescent="0.35">
      <c r="A16" s="17"/>
      <c r="B16" s="17"/>
      <c r="C16" s="16"/>
      <c r="D16" s="18">
        <v>14</v>
      </c>
      <c r="E16" s="18" t="s">
        <v>363</v>
      </c>
      <c r="F16" s="18">
        <v>26</v>
      </c>
      <c r="G16" s="18">
        <v>3</v>
      </c>
      <c r="H16" s="18">
        <v>1</v>
      </c>
      <c r="I16" s="18">
        <v>22</v>
      </c>
      <c r="J16" s="18">
        <v>672</v>
      </c>
      <c r="K16" s="18" t="s">
        <v>20</v>
      </c>
      <c r="L16" s="19">
        <v>860</v>
      </c>
      <c r="M16" s="18">
        <v>7</v>
      </c>
      <c r="N16" s="18" t="s">
        <v>20</v>
      </c>
      <c r="O16" s="19">
        <v>45</v>
      </c>
      <c r="P16" s="17">
        <v>5</v>
      </c>
      <c r="Q16" s="17">
        <f t="shared" si="4"/>
        <v>508510769</v>
      </c>
      <c r="R16" s="17">
        <f t="shared" si="0"/>
        <v>42769</v>
      </c>
      <c r="S16" s="17">
        <f t="shared" si="1"/>
        <v>25846014</v>
      </c>
      <c r="T16" s="17">
        <f t="shared" si="2"/>
        <v>14046040</v>
      </c>
      <c r="U16" s="17">
        <f t="shared" si="3"/>
        <v>14</v>
      </c>
      <c r="V16" s="17">
        <f t="shared" si="6"/>
        <v>14</v>
      </c>
      <c r="W16" s="17" t="str">
        <f t="shared" si="5"/>
        <v>OLPlatz 14</v>
      </c>
    </row>
    <row r="17" spans="1:23" x14ac:dyDescent="0.35">
      <c r="A17" s="17"/>
      <c r="B17" s="17"/>
      <c r="C17" s="16" t="s">
        <v>545</v>
      </c>
      <c r="D17" s="18">
        <v>1</v>
      </c>
      <c r="E17" s="18" t="s">
        <v>366</v>
      </c>
      <c r="F17" s="18">
        <v>26</v>
      </c>
      <c r="G17" s="18">
        <v>21</v>
      </c>
      <c r="H17" s="18">
        <v>0</v>
      </c>
      <c r="I17" s="18">
        <v>5</v>
      </c>
      <c r="J17" s="18">
        <v>767</v>
      </c>
      <c r="K17" s="18" t="s">
        <v>20</v>
      </c>
      <c r="L17" s="19">
        <v>619</v>
      </c>
      <c r="M17" s="18">
        <v>42</v>
      </c>
      <c r="N17" s="18" t="s">
        <v>20</v>
      </c>
      <c r="O17" s="19">
        <v>10</v>
      </c>
      <c r="P17" s="17">
        <v>7</v>
      </c>
      <c r="Q17" s="17">
        <f t="shared" si="4"/>
        <v>309864615</v>
      </c>
      <c r="R17" s="17">
        <f t="shared" si="0"/>
        <v>55692</v>
      </c>
      <c r="S17" s="17">
        <f t="shared" si="1"/>
        <v>29500015</v>
      </c>
      <c r="T17" s="17">
        <f t="shared" si="2"/>
        <v>16007019</v>
      </c>
      <c r="U17" s="17">
        <f t="shared" si="3"/>
        <v>16</v>
      </c>
      <c r="V17" s="17">
        <f t="shared" si="6"/>
        <v>15</v>
      </c>
      <c r="W17" s="17" t="str">
        <f>"LL Platz "&amp;D17&amp;" Rang "&amp;(U17-12-2*D17)</f>
        <v>LL Platz 1 Rang 2</v>
      </c>
    </row>
    <row r="18" spans="1:23" x14ac:dyDescent="0.35">
      <c r="A18" s="17"/>
      <c r="B18" s="17"/>
      <c r="C18" s="16"/>
      <c r="D18" s="18">
        <v>2</v>
      </c>
      <c r="E18" s="18" t="s">
        <v>367</v>
      </c>
      <c r="F18" s="18">
        <v>26</v>
      </c>
      <c r="G18" s="18">
        <v>19</v>
      </c>
      <c r="H18" s="18">
        <v>1</v>
      </c>
      <c r="I18" s="18">
        <v>6</v>
      </c>
      <c r="J18" s="18">
        <v>701</v>
      </c>
      <c r="K18" s="18" t="s">
        <v>20</v>
      </c>
      <c r="L18" s="19">
        <v>596</v>
      </c>
      <c r="M18" s="18">
        <v>39</v>
      </c>
      <c r="N18" s="18" t="s">
        <v>20</v>
      </c>
      <c r="O18" s="19">
        <v>13</v>
      </c>
      <c r="P18" s="17">
        <v>7</v>
      </c>
      <c r="Q18" s="17">
        <f t="shared" si="4"/>
        <v>309760000</v>
      </c>
      <c r="R18" s="17">
        <f t="shared" si="0"/>
        <v>54038</v>
      </c>
      <c r="S18" s="17">
        <f t="shared" si="1"/>
        <v>26961016</v>
      </c>
      <c r="T18" s="17">
        <f t="shared" si="2"/>
        <v>18011036</v>
      </c>
      <c r="U18" s="17">
        <f t="shared" si="3"/>
        <v>18</v>
      </c>
      <c r="V18" s="17">
        <f t="shared" si="6"/>
        <v>16</v>
      </c>
      <c r="W18" s="17" t="str">
        <f t="shared" ref="W18:W44" si="7">"LL Platz "&amp;D18&amp;" Rang "&amp;(U18-12-2*D18)</f>
        <v>LL Platz 2 Rang 2</v>
      </c>
    </row>
    <row r="19" spans="1:23" x14ac:dyDescent="0.35">
      <c r="A19" s="17"/>
      <c r="B19" s="17"/>
      <c r="C19" s="16"/>
      <c r="D19" s="18">
        <v>3</v>
      </c>
      <c r="E19" s="18" t="s">
        <v>368</v>
      </c>
      <c r="F19" s="18">
        <v>26</v>
      </c>
      <c r="G19" s="18">
        <v>19</v>
      </c>
      <c r="H19" s="18">
        <v>1</v>
      </c>
      <c r="I19" s="18">
        <v>6</v>
      </c>
      <c r="J19" s="18">
        <v>748</v>
      </c>
      <c r="K19" s="18" t="s">
        <v>20</v>
      </c>
      <c r="L19" s="19">
        <v>718</v>
      </c>
      <c r="M19" s="18">
        <v>39</v>
      </c>
      <c r="N19" s="18" t="s">
        <v>20</v>
      </c>
      <c r="O19" s="19">
        <v>13</v>
      </c>
      <c r="P19" s="17">
        <v>7</v>
      </c>
      <c r="Q19" s="17">
        <f t="shared" si="4"/>
        <v>309660000</v>
      </c>
      <c r="R19" s="17">
        <f t="shared" si="0"/>
        <v>51153</v>
      </c>
      <c r="S19" s="17">
        <f t="shared" si="1"/>
        <v>28769017</v>
      </c>
      <c r="T19" s="17">
        <f t="shared" si="2"/>
        <v>20019026</v>
      </c>
      <c r="U19" s="17">
        <f t="shared" si="3"/>
        <v>20</v>
      </c>
      <c r="V19" s="17">
        <f t="shared" si="6"/>
        <v>17</v>
      </c>
      <c r="W19" s="17" t="str">
        <f t="shared" si="7"/>
        <v>LL Platz 3 Rang 2</v>
      </c>
    </row>
    <row r="20" spans="1:23" x14ac:dyDescent="0.35">
      <c r="A20" s="17"/>
      <c r="B20" s="17"/>
      <c r="C20" s="16"/>
      <c r="D20" s="18">
        <v>4</v>
      </c>
      <c r="E20" s="18" t="s">
        <v>364</v>
      </c>
      <c r="F20" s="18">
        <v>26</v>
      </c>
      <c r="G20" s="18">
        <v>17</v>
      </c>
      <c r="H20" s="18">
        <v>3</v>
      </c>
      <c r="I20" s="18">
        <v>6</v>
      </c>
      <c r="J20" s="18">
        <v>764</v>
      </c>
      <c r="K20" s="18" t="s">
        <v>20</v>
      </c>
      <c r="L20" s="19">
        <v>653</v>
      </c>
      <c r="M20" s="18">
        <v>37</v>
      </c>
      <c r="N20" s="18" t="s">
        <v>20</v>
      </c>
      <c r="O20" s="19">
        <v>15</v>
      </c>
      <c r="P20" s="17">
        <v>7</v>
      </c>
      <c r="Q20" s="17">
        <f t="shared" si="4"/>
        <v>309556923</v>
      </c>
      <c r="R20" s="17">
        <f t="shared" si="0"/>
        <v>54269</v>
      </c>
      <c r="S20" s="17">
        <f t="shared" si="1"/>
        <v>29384018</v>
      </c>
      <c r="T20" s="17">
        <f t="shared" si="2"/>
        <v>21010021</v>
      </c>
      <c r="U20" s="17">
        <f t="shared" si="3"/>
        <v>21</v>
      </c>
      <c r="V20" s="17">
        <f t="shared" si="6"/>
        <v>18</v>
      </c>
      <c r="W20" s="17" t="str">
        <f t="shared" si="7"/>
        <v>LL Platz 4 Rang 1</v>
      </c>
    </row>
    <row r="21" spans="1:23" x14ac:dyDescent="0.35">
      <c r="A21" s="17"/>
      <c r="B21" s="17"/>
      <c r="C21" s="16"/>
      <c r="D21" s="18">
        <v>5</v>
      </c>
      <c r="E21" s="18" t="s">
        <v>365</v>
      </c>
      <c r="F21" s="18">
        <v>26</v>
      </c>
      <c r="G21" s="18">
        <v>16</v>
      </c>
      <c r="H21" s="18">
        <v>2</v>
      </c>
      <c r="I21" s="18">
        <v>8</v>
      </c>
      <c r="J21" s="18">
        <v>792</v>
      </c>
      <c r="K21" s="18" t="s">
        <v>20</v>
      </c>
      <c r="L21" s="19">
        <v>709</v>
      </c>
      <c r="M21" s="18">
        <v>34</v>
      </c>
      <c r="N21" s="18" t="s">
        <v>20</v>
      </c>
      <c r="O21" s="19">
        <v>18</v>
      </c>
      <c r="P21" s="17">
        <v>7</v>
      </c>
      <c r="Q21" s="17">
        <f t="shared" si="4"/>
        <v>309452307</v>
      </c>
      <c r="R21" s="17">
        <f t="shared" si="0"/>
        <v>53192</v>
      </c>
      <c r="S21" s="17">
        <f t="shared" si="1"/>
        <v>30461019</v>
      </c>
      <c r="T21" s="17">
        <f t="shared" si="2"/>
        <v>23015011</v>
      </c>
      <c r="U21" s="17">
        <f t="shared" si="3"/>
        <v>23</v>
      </c>
      <c r="V21" s="17">
        <f t="shared" si="6"/>
        <v>19</v>
      </c>
      <c r="W21" s="17" t="str">
        <f t="shared" si="7"/>
        <v>LL Platz 5 Rang 1</v>
      </c>
    </row>
    <row r="22" spans="1:23" x14ac:dyDescent="0.35">
      <c r="A22" s="17"/>
      <c r="B22" s="17"/>
      <c r="C22" s="16"/>
      <c r="D22" s="18">
        <v>6</v>
      </c>
      <c r="E22" s="18" t="s">
        <v>369</v>
      </c>
      <c r="F22" s="18">
        <v>26</v>
      </c>
      <c r="G22" s="18">
        <v>15</v>
      </c>
      <c r="H22" s="18">
        <v>3</v>
      </c>
      <c r="I22" s="18">
        <v>8</v>
      </c>
      <c r="J22" s="18">
        <v>801</v>
      </c>
      <c r="K22" s="18" t="s">
        <v>20</v>
      </c>
      <c r="L22" s="19">
        <v>710</v>
      </c>
      <c r="M22" s="18">
        <v>33</v>
      </c>
      <c r="N22" s="18" t="s">
        <v>20</v>
      </c>
      <c r="O22" s="19">
        <v>19</v>
      </c>
      <c r="P22" s="17">
        <v>7</v>
      </c>
      <c r="Q22" s="17">
        <f t="shared" si="4"/>
        <v>309350769</v>
      </c>
      <c r="R22" s="17">
        <f t="shared" si="0"/>
        <v>53500</v>
      </c>
      <c r="S22" s="17">
        <f t="shared" si="1"/>
        <v>30807020</v>
      </c>
      <c r="T22" s="17">
        <f t="shared" si="2"/>
        <v>25014009</v>
      </c>
      <c r="U22" s="17">
        <f t="shared" si="3"/>
        <v>25</v>
      </c>
      <c r="V22" s="17">
        <f t="shared" si="6"/>
        <v>20</v>
      </c>
      <c r="W22" s="17" t="str">
        <f t="shared" si="7"/>
        <v>LL Platz 6 Rang 1</v>
      </c>
    </row>
    <row r="23" spans="1:23" x14ac:dyDescent="0.35">
      <c r="A23" s="17"/>
      <c r="B23" s="17"/>
      <c r="C23" s="16"/>
      <c r="D23" s="18">
        <v>7</v>
      </c>
      <c r="E23" s="18" t="s">
        <v>370</v>
      </c>
      <c r="F23" s="18">
        <v>26</v>
      </c>
      <c r="G23" s="18">
        <v>12</v>
      </c>
      <c r="H23" s="18">
        <v>2</v>
      </c>
      <c r="I23" s="18">
        <v>12</v>
      </c>
      <c r="J23" s="18">
        <v>759</v>
      </c>
      <c r="K23" s="18" t="s">
        <v>20</v>
      </c>
      <c r="L23" s="19">
        <v>753</v>
      </c>
      <c r="M23" s="18">
        <v>26</v>
      </c>
      <c r="N23" s="18" t="s">
        <v>20</v>
      </c>
      <c r="O23" s="19">
        <v>26</v>
      </c>
      <c r="P23" s="17">
        <v>7</v>
      </c>
      <c r="Q23" s="17">
        <f t="shared" si="4"/>
        <v>309240000</v>
      </c>
      <c r="R23" s="17">
        <f t="shared" si="0"/>
        <v>50230</v>
      </c>
      <c r="S23" s="17">
        <f t="shared" si="1"/>
        <v>29192021</v>
      </c>
      <c r="T23" s="17">
        <f t="shared" si="2"/>
        <v>27023023</v>
      </c>
      <c r="U23" s="17">
        <f t="shared" si="3"/>
        <v>28</v>
      </c>
      <c r="V23" s="17">
        <f t="shared" si="6"/>
        <v>21</v>
      </c>
      <c r="W23" s="17" t="str">
        <f t="shared" si="7"/>
        <v>LL Platz 7 Rang 2</v>
      </c>
    </row>
    <row r="24" spans="1:23" x14ac:dyDescent="0.35">
      <c r="A24" s="17"/>
      <c r="B24" s="17"/>
      <c r="C24" s="16"/>
      <c r="D24" s="18">
        <v>8</v>
      </c>
      <c r="E24" s="18" t="s">
        <v>372</v>
      </c>
      <c r="F24" s="18">
        <v>26</v>
      </c>
      <c r="G24" s="18">
        <v>11</v>
      </c>
      <c r="H24" s="18">
        <v>3</v>
      </c>
      <c r="I24" s="18">
        <v>12</v>
      </c>
      <c r="J24" s="18">
        <v>786</v>
      </c>
      <c r="K24" s="18" t="s">
        <v>20</v>
      </c>
      <c r="L24" s="19">
        <v>793</v>
      </c>
      <c r="M24" s="18">
        <v>25</v>
      </c>
      <c r="N24" s="18" t="s">
        <v>20</v>
      </c>
      <c r="O24" s="19">
        <v>27</v>
      </c>
      <c r="P24" s="17">
        <v>7</v>
      </c>
      <c r="Q24" s="17">
        <f t="shared" si="4"/>
        <v>309138461</v>
      </c>
      <c r="R24" s="17">
        <f t="shared" si="0"/>
        <v>49730</v>
      </c>
      <c r="S24" s="17">
        <f t="shared" si="1"/>
        <v>30230022</v>
      </c>
      <c r="T24" s="17">
        <f t="shared" si="2"/>
        <v>29025012</v>
      </c>
      <c r="U24" s="17">
        <f t="shared" si="3"/>
        <v>29</v>
      </c>
      <c r="V24" s="17">
        <f t="shared" si="6"/>
        <v>22</v>
      </c>
      <c r="W24" s="17" t="str">
        <f t="shared" si="7"/>
        <v>LL Platz 8 Rang 1</v>
      </c>
    </row>
    <row r="25" spans="1:23" x14ac:dyDescent="0.35">
      <c r="A25" s="17"/>
      <c r="B25" s="17"/>
      <c r="C25" s="16"/>
      <c r="D25" s="18">
        <v>9</v>
      </c>
      <c r="E25" s="18" t="s">
        <v>374</v>
      </c>
      <c r="F25" s="18">
        <v>26</v>
      </c>
      <c r="G25" s="18">
        <v>9</v>
      </c>
      <c r="H25" s="18">
        <v>4</v>
      </c>
      <c r="I25" s="18">
        <v>13</v>
      </c>
      <c r="J25" s="18">
        <v>754</v>
      </c>
      <c r="K25" s="18" t="s">
        <v>20</v>
      </c>
      <c r="L25" s="19">
        <v>802</v>
      </c>
      <c r="M25" s="18">
        <v>22</v>
      </c>
      <c r="N25" s="18" t="s">
        <v>20</v>
      </c>
      <c r="O25" s="19">
        <v>30</v>
      </c>
      <c r="P25" s="17">
        <v>7</v>
      </c>
      <c r="Q25" s="17">
        <f t="shared" si="4"/>
        <v>309033846</v>
      </c>
      <c r="R25" s="17">
        <f t="shared" si="0"/>
        <v>48153</v>
      </c>
      <c r="S25" s="17">
        <f t="shared" si="1"/>
        <v>29000023</v>
      </c>
      <c r="T25" s="17">
        <f t="shared" si="2"/>
        <v>31032025</v>
      </c>
      <c r="U25" s="17">
        <f t="shared" si="3"/>
        <v>31</v>
      </c>
      <c r="V25" s="17">
        <f t="shared" si="6"/>
        <v>23</v>
      </c>
      <c r="W25" s="17" t="str">
        <f t="shared" si="7"/>
        <v>LL Platz 9 Rang 1</v>
      </c>
    </row>
    <row r="26" spans="1:23" x14ac:dyDescent="0.35">
      <c r="A26" s="17"/>
      <c r="B26" s="17"/>
      <c r="C26" s="16"/>
      <c r="D26" s="18">
        <v>10</v>
      </c>
      <c r="E26" s="18" t="s">
        <v>371</v>
      </c>
      <c r="F26" s="18">
        <v>26</v>
      </c>
      <c r="G26" s="18">
        <v>8</v>
      </c>
      <c r="H26" s="18">
        <v>4</v>
      </c>
      <c r="I26" s="18">
        <v>14</v>
      </c>
      <c r="J26" s="18">
        <v>674</v>
      </c>
      <c r="K26" s="18" t="s">
        <v>20</v>
      </c>
      <c r="L26" s="19">
        <v>752</v>
      </c>
      <c r="M26" s="18">
        <v>20</v>
      </c>
      <c r="N26" s="18" t="s">
        <v>20</v>
      </c>
      <c r="O26" s="19">
        <v>32</v>
      </c>
      <c r="P26" s="17">
        <v>7</v>
      </c>
      <c r="Q26" s="17">
        <f t="shared" si="4"/>
        <v>308930769</v>
      </c>
      <c r="R26" s="17">
        <f t="shared" si="0"/>
        <v>47000</v>
      </c>
      <c r="S26" s="17">
        <f t="shared" si="1"/>
        <v>25923024</v>
      </c>
      <c r="T26" s="17">
        <f t="shared" si="2"/>
        <v>33035039</v>
      </c>
      <c r="U26" s="17">
        <f t="shared" si="3"/>
        <v>33</v>
      </c>
      <c r="V26" s="17">
        <f t="shared" si="6"/>
        <v>24</v>
      </c>
      <c r="W26" s="17" t="str">
        <f t="shared" si="7"/>
        <v>LL Platz 10 Rang 1</v>
      </c>
    </row>
    <row r="27" spans="1:23" x14ac:dyDescent="0.35">
      <c r="A27" s="17"/>
      <c r="B27" s="17"/>
      <c r="C27" s="16"/>
      <c r="D27" s="18">
        <v>11</v>
      </c>
      <c r="E27" s="18" t="s">
        <v>373</v>
      </c>
      <c r="F27" s="18">
        <v>26</v>
      </c>
      <c r="G27" s="18">
        <v>7</v>
      </c>
      <c r="H27" s="18">
        <v>2</v>
      </c>
      <c r="I27" s="18">
        <v>17</v>
      </c>
      <c r="J27" s="18">
        <v>736</v>
      </c>
      <c r="K27" s="18" t="s">
        <v>20</v>
      </c>
      <c r="L27" s="19">
        <v>817</v>
      </c>
      <c r="M27" s="18">
        <v>16</v>
      </c>
      <c r="N27" s="18" t="s">
        <v>20</v>
      </c>
      <c r="O27" s="19">
        <v>36</v>
      </c>
      <c r="P27" s="17">
        <v>7</v>
      </c>
      <c r="Q27" s="17">
        <f t="shared" si="4"/>
        <v>308824615</v>
      </c>
      <c r="R27" s="17">
        <f t="shared" si="0"/>
        <v>46884</v>
      </c>
      <c r="S27" s="17">
        <f t="shared" si="1"/>
        <v>28307025</v>
      </c>
      <c r="T27" s="17">
        <f t="shared" si="2"/>
        <v>36037030</v>
      </c>
      <c r="U27" s="17">
        <f t="shared" si="3"/>
        <v>36</v>
      </c>
      <c r="V27" s="17">
        <f t="shared" si="6"/>
        <v>25</v>
      </c>
      <c r="W27" s="17" t="str">
        <f t="shared" si="7"/>
        <v>LL Platz 11 Rang 2</v>
      </c>
    </row>
    <row r="28" spans="1:23" x14ac:dyDescent="0.35">
      <c r="A28" s="17"/>
      <c r="B28" s="17"/>
      <c r="C28" s="16"/>
      <c r="D28" s="18">
        <v>12</v>
      </c>
      <c r="E28" s="18" t="s">
        <v>376</v>
      </c>
      <c r="F28" s="18">
        <v>26</v>
      </c>
      <c r="G28" s="18">
        <v>6</v>
      </c>
      <c r="H28" s="18">
        <v>1</v>
      </c>
      <c r="I28" s="18">
        <v>19</v>
      </c>
      <c r="J28" s="18">
        <v>625</v>
      </c>
      <c r="K28" s="18" t="s">
        <v>20</v>
      </c>
      <c r="L28" s="19">
        <v>755</v>
      </c>
      <c r="M28" s="18">
        <v>13</v>
      </c>
      <c r="N28" s="18" t="s">
        <v>20</v>
      </c>
      <c r="O28" s="19">
        <v>39</v>
      </c>
      <c r="P28" s="17">
        <v>7</v>
      </c>
      <c r="Q28" s="17">
        <f t="shared" si="4"/>
        <v>308720000</v>
      </c>
      <c r="R28" s="17">
        <f t="shared" si="0"/>
        <v>45000</v>
      </c>
      <c r="S28" s="17">
        <f t="shared" si="1"/>
        <v>24038026</v>
      </c>
      <c r="T28" s="17">
        <f t="shared" si="2"/>
        <v>38044046</v>
      </c>
      <c r="U28" s="17">
        <f t="shared" si="3"/>
        <v>38</v>
      </c>
      <c r="V28" s="17">
        <f t="shared" si="6"/>
        <v>26</v>
      </c>
      <c r="W28" s="17" t="str">
        <f t="shared" si="7"/>
        <v>LL Platz 12 Rang 2</v>
      </c>
    </row>
    <row r="29" spans="1:23" x14ac:dyDescent="0.35">
      <c r="A29" s="17"/>
      <c r="B29" s="17"/>
      <c r="C29" s="16"/>
      <c r="D29" s="18">
        <v>13</v>
      </c>
      <c r="E29" s="18" t="s">
        <v>375</v>
      </c>
      <c r="F29" s="18">
        <v>26</v>
      </c>
      <c r="G29" s="18">
        <v>3</v>
      </c>
      <c r="H29" s="18">
        <v>3</v>
      </c>
      <c r="I29" s="18">
        <v>20</v>
      </c>
      <c r="J29" s="18">
        <v>654</v>
      </c>
      <c r="K29" s="18" t="s">
        <v>20</v>
      </c>
      <c r="L29" s="19">
        <v>764</v>
      </c>
      <c r="M29" s="18">
        <v>9</v>
      </c>
      <c r="N29" s="18" t="s">
        <v>20</v>
      </c>
      <c r="O29" s="19">
        <v>43</v>
      </c>
      <c r="P29" s="17">
        <v>7</v>
      </c>
      <c r="Q29" s="17">
        <f t="shared" si="4"/>
        <v>308613846</v>
      </c>
      <c r="R29" s="17">
        <f t="shared" si="0"/>
        <v>45769</v>
      </c>
      <c r="S29" s="17">
        <f t="shared" si="1"/>
        <v>25153027</v>
      </c>
      <c r="T29" s="17">
        <f t="shared" si="2"/>
        <v>40041044</v>
      </c>
      <c r="U29" s="17">
        <f t="shared" si="3"/>
        <v>40</v>
      </c>
      <c r="V29" s="17">
        <f t="shared" si="6"/>
        <v>27</v>
      </c>
      <c r="W29" s="17" t="str">
        <f t="shared" si="7"/>
        <v>LL Platz 13 Rang 2</v>
      </c>
    </row>
    <row r="30" spans="1:23" x14ac:dyDescent="0.35">
      <c r="A30" s="17"/>
      <c r="B30" s="17"/>
      <c r="C30" s="16"/>
      <c r="D30" s="18">
        <v>14</v>
      </c>
      <c r="E30" s="18" t="s">
        <v>377</v>
      </c>
      <c r="F30" s="18">
        <v>26</v>
      </c>
      <c r="G30" s="18">
        <v>4</v>
      </c>
      <c r="H30" s="18">
        <v>1</v>
      </c>
      <c r="I30" s="18">
        <v>21</v>
      </c>
      <c r="J30" s="18">
        <v>644</v>
      </c>
      <c r="K30" s="18" t="s">
        <v>20</v>
      </c>
      <c r="L30" s="19">
        <v>764</v>
      </c>
      <c r="M30" s="18">
        <v>9</v>
      </c>
      <c r="N30" s="18" t="s">
        <v>20</v>
      </c>
      <c r="O30" s="19">
        <v>43</v>
      </c>
      <c r="P30" s="17">
        <v>7</v>
      </c>
      <c r="Q30" s="17">
        <f t="shared" si="4"/>
        <v>308513846</v>
      </c>
      <c r="R30" s="17">
        <f t="shared" si="0"/>
        <v>45384</v>
      </c>
      <c r="S30" s="17">
        <f t="shared" si="1"/>
        <v>24769028</v>
      </c>
      <c r="T30" s="17">
        <f t="shared" si="2"/>
        <v>41042045</v>
      </c>
      <c r="U30" s="17">
        <f t="shared" si="3"/>
        <v>41</v>
      </c>
      <c r="V30" s="17">
        <f t="shared" si="6"/>
        <v>28</v>
      </c>
      <c r="W30" s="17" t="str">
        <f t="shared" si="7"/>
        <v>LL Platz 14 Rang 1</v>
      </c>
    </row>
    <row r="31" spans="1:23" x14ac:dyDescent="0.35">
      <c r="A31" s="17"/>
      <c r="B31" s="17"/>
      <c r="C31" s="16" t="s">
        <v>544</v>
      </c>
      <c r="D31" s="18">
        <v>1</v>
      </c>
      <c r="E31" s="18" t="s">
        <v>378</v>
      </c>
      <c r="F31" s="18">
        <v>26</v>
      </c>
      <c r="G31" s="18">
        <v>26</v>
      </c>
      <c r="H31" s="18">
        <v>0</v>
      </c>
      <c r="I31" s="18">
        <v>0</v>
      </c>
      <c r="J31" s="18">
        <v>736</v>
      </c>
      <c r="K31" s="18" t="s">
        <v>20</v>
      </c>
      <c r="L31" s="19">
        <v>535</v>
      </c>
      <c r="M31" s="18">
        <v>52</v>
      </c>
      <c r="N31" s="18" t="s">
        <v>20</v>
      </c>
      <c r="O31" s="19">
        <v>0</v>
      </c>
      <c r="P31" s="17">
        <v>7</v>
      </c>
      <c r="Q31" s="17">
        <f t="shared" si="4"/>
        <v>309880000</v>
      </c>
      <c r="R31" s="17">
        <f t="shared" si="0"/>
        <v>57730</v>
      </c>
      <c r="S31" s="17">
        <f t="shared" si="1"/>
        <v>28307029</v>
      </c>
      <c r="T31" s="17">
        <f t="shared" si="2"/>
        <v>15004029</v>
      </c>
      <c r="U31" s="17">
        <f t="shared" si="3"/>
        <v>15</v>
      </c>
      <c r="V31" s="17">
        <f t="shared" si="6"/>
        <v>29</v>
      </c>
      <c r="W31" s="17" t="str">
        <f t="shared" si="7"/>
        <v>LL Platz 1 Rang 1</v>
      </c>
    </row>
    <row r="32" spans="1:23" x14ac:dyDescent="0.35">
      <c r="A32" s="17"/>
      <c r="B32" s="17"/>
      <c r="C32" s="16"/>
      <c r="D32" s="18">
        <v>2</v>
      </c>
      <c r="E32" s="18" t="s">
        <v>379</v>
      </c>
      <c r="F32" s="18">
        <v>26</v>
      </c>
      <c r="G32" s="18">
        <v>20</v>
      </c>
      <c r="H32" s="18">
        <v>1</v>
      </c>
      <c r="I32" s="18">
        <v>5</v>
      </c>
      <c r="J32" s="18">
        <v>780</v>
      </c>
      <c r="K32" s="18" t="s">
        <v>20</v>
      </c>
      <c r="L32" s="19">
        <v>677</v>
      </c>
      <c r="M32" s="18">
        <v>41</v>
      </c>
      <c r="N32" s="18" t="s">
        <v>20</v>
      </c>
      <c r="O32" s="19">
        <v>11</v>
      </c>
      <c r="P32" s="17">
        <v>7</v>
      </c>
      <c r="Q32" s="17">
        <f t="shared" si="4"/>
        <v>309763076</v>
      </c>
      <c r="R32" s="17">
        <f t="shared" si="0"/>
        <v>53961</v>
      </c>
      <c r="S32" s="17">
        <f t="shared" si="1"/>
        <v>30000030</v>
      </c>
      <c r="T32" s="17">
        <f t="shared" si="2"/>
        <v>17012016</v>
      </c>
      <c r="U32" s="17">
        <f t="shared" si="3"/>
        <v>17</v>
      </c>
      <c r="V32" s="17">
        <f t="shared" si="6"/>
        <v>30</v>
      </c>
      <c r="W32" s="17" t="str">
        <f t="shared" si="7"/>
        <v>LL Platz 2 Rang 1</v>
      </c>
    </row>
    <row r="33" spans="1:23" x14ac:dyDescent="0.35">
      <c r="A33" s="17"/>
      <c r="B33" s="17"/>
      <c r="C33" s="16"/>
      <c r="D33" s="18">
        <v>3</v>
      </c>
      <c r="E33" s="18" t="s">
        <v>380</v>
      </c>
      <c r="F33" s="18">
        <v>26</v>
      </c>
      <c r="G33" s="18">
        <v>20</v>
      </c>
      <c r="H33" s="18">
        <v>1</v>
      </c>
      <c r="I33" s="18">
        <v>5</v>
      </c>
      <c r="J33" s="18">
        <v>654</v>
      </c>
      <c r="K33" s="18" t="s">
        <v>20</v>
      </c>
      <c r="L33" s="19">
        <v>561</v>
      </c>
      <c r="M33" s="18">
        <v>41</v>
      </c>
      <c r="N33" s="18" t="s">
        <v>20</v>
      </c>
      <c r="O33" s="19">
        <v>11</v>
      </c>
      <c r="P33" s="17">
        <v>7</v>
      </c>
      <c r="Q33" s="17">
        <f t="shared" si="4"/>
        <v>309663076</v>
      </c>
      <c r="R33" s="17">
        <f t="shared" si="0"/>
        <v>53576</v>
      </c>
      <c r="S33" s="17">
        <f t="shared" si="1"/>
        <v>25153031</v>
      </c>
      <c r="T33" s="17">
        <f t="shared" si="2"/>
        <v>19013043</v>
      </c>
      <c r="U33" s="17">
        <f t="shared" si="3"/>
        <v>19</v>
      </c>
      <c r="V33" s="17">
        <f t="shared" si="6"/>
        <v>31</v>
      </c>
      <c r="W33" s="17" t="str">
        <f t="shared" si="7"/>
        <v>LL Platz 3 Rang 1</v>
      </c>
    </row>
    <row r="34" spans="1:23" x14ac:dyDescent="0.35">
      <c r="A34" s="17"/>
      <c r="B34" s="17"/>
      <c r="C34" s="16"/>
      <c r="D34" s="18">
        <v>4</v>
      </c>
      <c r="E34" s="18" t="s">
        <v>382</v>
      </c>
      <c r="F34" s="18">
        <v>26</v>
      </c>
      <c r="G34" s="18">
        <v>16</v>
      </c>
      <c r="H34" s="18">
        <v>2</v>
      </c>
      <c r="I34" s="18">
        <v>8</v>
      </c>
      <c r="J34" s="18">
        <v>779</v>
      </c>
      <c r="K34" s="18" t="s">
        <v>20</v>
      </c>
      <c r="L34" s="19">
        <v>758</v>
      </c>
      <c r="M34" s="18">
        <v>34</v>
      </c>
      <c r="N34" s="18" t="s">
        <v>20</v>
      </c>
      <c r="O34" s="19">
        <v>18</v>
      </c>
      <c r="P34" s="17">
        <v>7</v>
      </c>
      <c r="Q34" s="17">
        <f t="shared" si="4"/>
        <v>309552307</v>
      </c>
      <c r="R34" s="17">
        <f t="shared" si="0"/>
        <v>50807</v>
      </c>
      <c r="S34" s="17">
        <f t="shared" si="1"/>
        <v>29961032</v>
      </c>
      <c r="T34" s="17">
        <f t="shared" si="2"/>
        <v>22020017</v>
      </c>
      <c r="U34" s="17">
        <f t="shared" si="3"/>
        <v>22</v>
      </c>
      <c r="V34" s="17">
        <f t="shared" si="6"/>
        <v>32</v>
      </c>
      <c r="W34" s="17" t="str">
        <f t="shared" si="7"/>
        <v>LL Platz 4 Rang 2</v>
      </c>
    </row>
    <row r="35" spans="1:23" x14ac:dyDescent="0.35">
      <c r="A35" s="17"/>
      <c r="B35" s="17"/>
      <c r="C35" s="16"/>
      <c r="D35" s="18">
        <v>5</v>
      </c>
      <c r="E35" s="18" t="s">
        <v>381</v>
      </c>
      <c r="F35" s="18">
        <v>26</v>
      </c>
      <c r="G35" s="18">
        <v>15</v>
      </c>
      <c r="H35" s="18">
        <v>0</v>
      </c>
      <c r="I35" s="18">
        <v>11</v>
      </c>
      <c r="J35" s="18">
        <v>767</v>
      </c>
      <c r="K35" s="18" t="s">
        <v>20</v>
      </c>
      <c r="L35" s="19">
        <v>746</v>
      </c>
      <c r="M35" s="18">
        <v>30</v>
      </c>
      <c r="N35" s="18" t="s">
        <v>20</v>
      </c>
      <c r="O35" s="19">
        <v>22</v>
      </c>
      <c r="P35" s="17">
        <v>7</v>
      </c>
      <c r="Q35" s="17">
        <f t="shared" si="4"/>
        <v>309446153</v>
      </c>
      <c r="R35" s="17">
        <f t="shared" ref="R35:R48" si="8">INT(1000*((J35-L35)/F35+50))</f>
        <v>50807</v>
      </c>
      <c r="S35" s="17">
        <f t="shared" ref="S35:S48" si="9">V35+1000*(INT(1000*J35/F35))</f>
        <v>29500033</v>
      </c>
      <c r="T35" s="17">
        <f t="shared" ref="T35:T48" si="10">RANK(S35,S$3:S$48)+1000*RANK(R35,R$3:R$48)+1000000*RANK(Q35,Q$3:Q$48)</f>
        <v>24020018</v>
      </c>
      <c r="U35" s="17">
        <f t="shared" ref="U35:U48" si="11">RANK(T35,T$3:T$48,1)</f>
        <v>24</v>
      </c>
      <c r="V35" s="17">
        <f t="shared" si="6"/>
        <v>33</v>
      </c>
      <c r="W35" s="17" t="str">
        <f t="shared" si="7"/>
        <v>LL Platz 5 Rang 2</v>
      </c>
    </row>
    <row r="36" spans="1:23" x14ac:dyDescent="0.35">
      <c r="A36" s="17"/>
      <c r="B36" s="17"/>
      <c r="C36" s="16"/>
      <c r="D36" s="18">
        <v>6</v>
      </c>
      <c r="E36" s="18" t="s">
        <v>383</v>
      </c>
      <c r="F36" s="18">
        <v>26</v>
      </c>
      <c r="G36" s="18">
        <v>12</v>
      </c>
      <c r="H36" s="18">
        <v>3</v>
      </c>
      <c r="I36" s="18">
        <v>11</v>
      </c>
      <c r="J36" s="18">
        <v>761</v>
      </c>
      <c r="K36" s="18" t="s">
        <v>20</v>
      </c>
      <c r="L36" s="19">
        <v>746</v>
      </c>
      <c r="M36" s="18">
        <v>27</v>
      </c>
      <c r="N36" s="18" t="s">
        <v>20</v>
      </c>
      <c r="O36" s="19">
        <v>25</v>
      </c>
      <c r="P36" s="17">
        <v>7</v>
      </c>
      <c r="Q36" s="17">
        <f t="shared" si="4"/>
        <v>309341538</v>
      </c>
      <c r="R36" s="17">
        <f t="shared" si="8"/>
        <v>50576</v>
      </c>
      <c r="S36" s="17">
        <f t="shared" si="9"/>
        <v>29269034</v>
      </c>
      <c r="T36" s="17">
        <f t="shared" si="10"/>
        <v>26022022</v>
      </c>
      <c r="U36" s="17">
        <f t="shared" si="11"/>
        <v>26</v>
      </c>
      <c r="V36" s="17">
        <f t="shared" si="6"/>
        <v>34</v>
      </c>
      <c r="W36" s="17" t="str">
        <f t="shared" si="7"/>
        <v>LL Platz 6 Rang 2</v>
      </c>
    </row>
    <row r="37" spans="1:23" x14ac:dyDescent="0.35">
      <c r="A37" s="17"/>
      <c r="B37" s="17"/>
      <c r="C37" s="16"/>
      <c r="D37" s="18">
        <v>7</v>
      </c>
      <c r="E37" s="18" t="s">
        <v>384</v>
      </c>
      <c r="F37" s="18">
        <v>26</v>
      </c>
      <c r="G37" s="18">
        <v>12</v>
      </c>
      <c r="H37" s="18">
        <v>2</v>
      </c>
      <c r="I37" s="18">
        <v>12</v>
      </c>
      <c r="J37" s="18">
        <v>701</v>
      </c>
      <c r="K37" s="18" t="s">
        <v>20</v>
      </c>
      <c r="L37" s="19">
        <v>655</v>
      </c>
      <c r="M37" s="18">
        <v>26</v>
      </c>
      <c r="N37" s="18" t="s">
        <v>20</v>
      </c>
      <c r="O37" s="19">
        <v>26</v>
      </c>
      <c r="P37" s="17">
        <v>7</v>
      </c>
      <c r="Q37" s="17">
        <f t="shared" si="4"/>
        <v>309240000</v>
      </c>
      <c r="R37" s="17">
        <f t="shared" si="8"/>
        <v>51769</v>
      </c>
      <c r="S37" s="17">
        <f t="shared" si="9"/>
        <v>26961035</v>
      </c>
      <c r="T37" s="17">
        <f t="shared" si="10"/>
        <v>27018035</v>
      </c>
      <c r="U37" s="17">
        <f t="shared" si="11"/>
        <v>27</v>
      </c>
      <c r="V37" s="17">
        <f t="shared" si="6"/>
        <v>35</v>
      </c>
      <c r="W37" s="17" t="str">
        <f t="shared" si="7"/>
        <v>LL Platz 7 Rang 1</v>
      </c>
    </row>
    <row r="38" spans="1:23" x14ac:dyDescent="0.35">
      <c r="A38" s="17"/>
      <c r="B38" s="17"/>
      <c r="C38" s="16"/>
      <c r="D38" s="18">
        <v>8</v>
      </c>
      <c r="E38" s="18" t="s">
        <v>385</v>
      </c>
      <c r="F38" s="18">
        <v>26</v>
      </c>
      <c r="G38" s="18">
        <v>10</v>
      </c>
      <c r="H38" s="18">
        <v>1</v>
      </c>
      <c r="I38" s="18">
        <v>15</v>
      </c>
      <c r="J38" s="18">
        <v>709</v>
      </c>
      <c r="K38" s="18" t="s">
        <v>20</v>
      </c>
      <c r="L38" s="19">
        <v>737</v>
      </c>
      <c r="M38" s="18">
        <v>21</v>
      </c>
      <c r="N38" s="18" t="s">
        <v>20</v>
      </c>
      <c r="O38" s="19">
        <v>31</v>
      </c>
      <c r="P38" s="17">
        <v>7</v>
      </c>
      <c r="Q38" s="17">
        <f t="shared" si="4"/>
        <v>309132307</v>
      </c>
      <c r="R38" s="17">
        <f t="shared" si="8"/>
        <v>48923</v>
      </c>
      <c r="S38" s="17">
        <f t="shared" si="9"/>
        <v>27269036</v>
      </c>
      <c r="T38" s="17">
        <f t="shared" si="10"/>
        <v>30030034</v>
      </c>
      <c r="U38" s="17">
        <f t="shared" si="11"/>
        <v>30</v>
      </c>
      <c r="V38" s="17">
        <f t="shared" si="6"/>
        <v>36</v>
      </c>
      <c r="W38" s="17" t="str">
        <f t="shared" si="7"/>
        <v>LL Platz 8 Rang 2</v>
      </c>
    </row>
    <row r="39" spans="1:23" x14ac:dyDescent="0.35">
      <c r="A39" s="17"/>
      <c r="B39" s="17"/>
      <c r="C39" s="16"/>
      <c r="D39" s="18">
        <v>9</v>
      </c>
      <c r="E39" s="18" t="s">
        <v>386</v>
      </c>
      <c r="F39" s="18">
        <v>26</v>
      </c>
      <c r="G39" s="18">
        <v>9</v>
      </c>
      <c r="H39" s="18">
        <v>1</v>
      </c>
      <c r="I39" s="18">
        <v>16</v>
      </c>
      <c r="J39" s="18">
        <v>687</v>
      </c>
      <c r="K39" s="18" t="s">
        <v>20</v>
      </c>
      <c r="L39" s="19">
        <v>788</v>
      </c>
      <c r="M39" s="18">
        <v>19</v>
      </c>
      <c r="N39" s="18" t="s">
        <v>20</v>
      </c>
      <c r="O39" s="19">
        <v>33</v>
      </c>
      <c r="P39" s="17">
        <v>7</v>
      </c>
      <c r="Q39" s="17">
        <f t="shared" si="4"/>
        <v>309029230</v>
      </c>
      <c r="R39" s="17">
        <f t="shared" si="8"/>
        <v>46115</v>
      </c>
      <c r="S39" s="17">
        <f t="shared" si="9"/>
        <v>26423037</v>
      </c>
      <c r="T39" s="17">
        <f t="shared" si="10"/>
        <v>32040038</v>
      </c>
      <c r="U39" s="17">
        <f t="shared" si="11"/>
        <v>32</v>
      </c>
      <c r="V39" s="17">
        <f t="shared" si="6"/>
        <v>37</v>
      </c>
      <c r="W39" s="17" t="str">
        <f t="shared" si="7"/>
        <v>LL Platz 9 Rang 2</v>
      </c>
    </row>
    <row r="40" spans="1:23" x14ac:dyDescent="0.35">
      <c r="A40" s="17"/>
      <c r="B40" s="17"/>
      <c r="C40" s="16"/>
      <c r="D40" s="18">
        <v>10</v>
      </c>
      <c r="E40" s="18" t="s">
        <v>387</v>
      </c>
      <c r="F40" s="18">
        <v>26</v>
      </c>
      <c r="G40" s="18">
        <v>8</v>
      </c>
      <c r="H40" s="18">
        <v>3</v>
      </c>
      <c r="I40" s="18">
        <v>15</v>
      </c>
      <c r="J40" s="18">
        <v>665</v>
      </c>
      <c r="K40" s="18" t="s">
        <v>20</v>
      </c>
      <c r="L40" s="19">
        <v>721</v>
      </c>
      <c r="M40" s="18">
        <v>19</v>
      </c>
      <c r="N40" s="18" t="s">
        <v>20</v>
      </c>
      <c r="O40" s="19">
        <v>33</v>
      </c>
      <c r="P40" s="17">
        <v>7</v>
      </c>
      <c r="Q40" s="17">
        <f t="shared" si="4"/>
        <v>308929230</v>
      </c>
      <c r="R40" s="17">
        <f t="shared" si="8"/>
        <v>47846</v>
      </c>
      <c r="S40" s="17">
        <f t="shared" si="9"/>
        <v>25576038</v>
      </c>
      <c r="T40" s="17">
        <f t="shared" si="10"/>
        <v>34033041</v>
      </c>
      <c r="U40" s="17">
        <f t="shared" si="11"/>
        <v>34</v>
      </c>
      <c r="V40" s="17">
        <f t="shared" si="6"/>
        <v>38</v>
      </c>
      <c r="W40" s="17" t="str">
        <f t="shared" si="7"/>
        <v>LL Platz 10 Rang 2</v>
      </c>
    </row>
    <row r="41" spans="1:23" x14ac:dyDescent="0.35">
      <c r="A41" s="17"/>
      <c r="B41" s="17"/>
      <c r="C41" s="16"/>
      <c r="D41" s="18">
        <v>11</v>
      </c>
      <c r="E41" s="18" t="s">
        <v>390</v>
      </c>
      <c r="F41" s="18">
        <v>26</v>
      </c>
      <c r="G41" s="18">
        <v>8</v>
      </c>
      <c r="H41" s="18">
        <v>2</v>
      </c>
      <c r="I41" s="18">
        <v>16</v>
      </c>
      <c r="J41" s="18">
        <v>756</v>
      </c>
      <c r="K41" s="18" t="s">
        <v>20</v>
      </c>
      <c r="L41" s="19">
        <v>816</v>
      </c>
      <c r="M41" s="18">
        <v>18</v>
      </c>
      <c r="N41" s="18" t="s">
        <v>20</v>
      </c>
      <c r="O41" s="19">
        <v>34</v>
      </c>
      <c r="P41" s="17">
        <v>7</v>
      </c>
      <c r="Q41" s="17">
        <f t="shared" si="4"/>
        <v>308827692</v>
      </c>
      <c r="R41" s="17">
        <f t="shared" si="8"/>
        <v>47692</v>
      </c>
      <c r="S41" s="17">
        <f t="shared" si="9"/>
        <v>29076039</v>
      </c>
      <c r="T41" s="17">
        <f t="shared" si="10"/>
        <v>35034024</v>
      </c>
      <c r="U41" s="17">
        <f t="shared" si="11"/>
        <v>35</v>
      </c>
      <c r="V41" s="17">
        <f t="shared" si="6"/>
        <v>39</v>
      </c>
      <c r="W41" s="17" t="str">
        <f t="shared" si="7"/>
        <v>LL Platz 11 Rang 1</v>
      </c>
    </row>
    <row r="42" spans="1:23" x14ac:dyDescent="0.35">
      <c r="A42" s="17"/>
      <c r="B42" s="17"/>
      <c r="C42" s="16"/>
      <c r="D42" s="18">
        <v>12</v>
      </c>
      <c r="E42" s="18" t="s">
        <v>388</v>
      </c>
      <c r="F42" s="18">
        <v>26</v>
      </c>
      <c r="G42" s="18">
        <v>8</v>
      </c>
      <c r="H42" s="18">
        <v>2</v>
      </c>
      <c r="I42" s="18">
        <v>16</v>
      </c>
      <c r="J42" s="18">
        <v>782</v>
      </c>
      <c r="K42" s="18" t="s">
        <v>20</v>
      </c>
      <c r="L42" s="19">
        <v>871</v>
      </c>
      <c r="M42" s="18">
        <v>18</v>
      </c>
      <c r="N42" s="18" t="s">
        <v>20</v>
      </c>
      <c r="O42" s="19">
        <v>34</v>
      </c>
      <c r="P42" s="17">
        <v>7</v>
      </c>
      <c r="Q42" s="17">
        <f t="shared" si="4"/>
        <v>308727692</v>
      </c>
      <c r="R42" s="17">
        <f t="shared" si="8"/>
        <v>46576</v>
      </c>
      <c r="S42" s="17">
        <f t="shared" si="9"/>
        <v>30076040</v>
      </c>
      <c r="T42" s="17">
        <f t="shared" si="10"/>
        <v>37039013</v>
      </c>
      <c r="U42" s="17">
        <f t="shared" si="11"/>
        <v>37</v>
      </c>
      <c r="V42" s="17">
        <f t="shared" si="6"/>
        <v>40</v>
      </c>
      <c r="W42" s="17" t="str">
        <f t="shared" si="7"/>
        <v>LL Platz 12 Rang 1</v>
      </c>
    </row>
    <row r="43" spans="1:23" x14ac:dyDescent="0.35">
      <c r="A43" s="17"/>
      <c r="B43" s="17"/>
      <c r="C43" s="16"/>
      <c r="D43" s="18">
        <v>13</v>
      </c>
      <c r="E43" s="18" t="s">
        <v>389</v>
      </c>
      <c r="F43" s="18">
        <v>26</v>
      </c>
      <c r="G43" s="18">
        <v>5</v>
      </c>
      <c r="H43" s="18">
        <v>0</v>
      </c>
      <c r="I43" s="18">
        <v>21</v>
      </c>
      <c r="J43" s="18">
        <v>727</v>
      </c>
      <c r="K43" s="18" t="s">
        <v>20</v>
      </c>
      <c r="L43" s="19">
        <v>805</v>
      </c>
      <c r="M43" s="18">
        <v>10</v>
      </c>
      <c r="N43" s="18" t="s">
        <v>20</v>
      </c>
      <c r="O43" s="19">
        <v>42</v>
      </c>
      <c r="P43" s="17">
        <v>7</v>
      </c>
      <c r="Q43" s="17">
        <f t="shared" si="4"/>
        <v>308615384</v>
      </c>
      <c r="R43" s="17">
        <f t="shared" si="8"/>
        <v>47000</v>
      </c>
      <c r="S43" s="17">
        <f t="shared" si="9"/>
        <v>27961041</v>
      </c>
      <c r="T43" s="17">
        <f t="shared" si="10"/>
        <v>39035033</v>
      </c>
      <c r="U43" s="17">
        <f t="shared" si="11"/>
        <v>39</v>
      </c>
      <c r="V43" s="17">
        <f t="shared" si="6"/>
        <v>41</v>
      </c>
      <c r="W43" s="17" t="str">
        <f t="shared" si="7"/>
        <v>LL Platz 13 Rang 1</v>
      </c>
    </row>
    <row r="44" spans="1:23" x14ac:dyDescent="0.35">
      <c r="A44" s="17"/>
      <c r="B44" s="17"/>
      <c r="C44" s="16"/>
      <c r="D44" s="18">
        <v>14</v>
      </c>
      <c r="E44" s="18" t="s">
        <v>391</v>
      </c>
      <c r="F44" s="18">
        <v>26</v>
      </c>
      <c r="G44" s="18">
        <v>4</v>
      </c>
      <c r="H44" s="18">
        <v>0</v>
      </c>
      <c r="I44" s="18">
        <v>22</v>
      </c>
      <c r="J44" s="18">
        <v>657</v>
      </c>
      <c r="K44" s="18" t="s">
        <v>20</v>
      </c>
      <c r="L44" s="19">
        <v>745</v>
      </c>
      <c r="M44" s="18">
        <v>8</v>
      </c>
      <c r="N44" s="18" t="s">
        <v>20</v>
      </c>
      <c r="O44" s="19">
        <v>44</v>
      </c>
      <c r="P44" s="17">
        <v>7</v>
      </c>
      <c r="Q44" s="17">
        <f t="shared" si="4"/>
        <v>308512307</v>
      </c>
      <c r="R44" s="17">
        <f t="shared" si="8"/>
        <v>46615</v>
      </c>
      <c r="S44" s="17">
        <f t="shared" si="9"/>
        <v>25269042</v>
      </c>
      <c r="T44" s="17">
        <f t="shared" si="10"/>
        <v>42038042</v>
      </c>
      <c r="U44" s="17">
        <f t="shared" si="11"/>
        <v>42</v>
      </c>
      <c r="V44" s="17">
        <f t="shared" si="6"/>
        <v>42</v>
      </c>
      <c r="W44" s="17" t="str">
        <f t="shared" si="7"/>
        <v>LL Platz 14 Rang 2</v>
      </c>
    </row>
    <row r="45" spans="1:23" x14ac:dyDescent="0.35">
      <c r="A45" s="17"/>
      <c r="B45" s="17"/>
      <c r="C45" s="16" t="s">
        <v>543</v>
      </c>
      <c r="D45" s="18">
        <v>1</v>
      </c>
      <c r="E45" s="18" t="s">
        <v>393</v>
      </c>
      <c r="F45" s="18">
        <v>18</v>
      </c>
      <c r="G45" s="18">
        <v>18</v>
      </c>
      <c r="H45" s="18">
        <v>0</v>
      </c>
      <c r="I45" s="18">
        <v>0</v>
      </c>
      <c r="J45" s="18">
        <v>577</v>
      </c>
      <c r="K45" s="18" t="s">
        <v>20</v>
      </c>
      <c r="L45" s="19">
        <v>374</v>
      </c>
      <c r="M45" s="18">
        <v>36</v>
      </c>
      <c r="N45" s="18" t="s">
        <v>20</v>
      </c>
      <c r="O45" s="19">
        <v>0</v>
      </c>
      <c r="P45" s="17">
        <v>8</v>
      </c>
      <c r="Q45" s="17">
        <f t="shared" si="4"/>
        <v>209880000</v>
      </c>
      <c r="R45" s="17">
        <f t="shared" si="8"/>
        <v>61277</v>
      </c>
      <c r="S45" s="17">
        <f t="shared" si="9"/>
        <v>32055043</v>
      </c>
      <c r="T45" s="17">
        <f t="shared" si="10"/>
        <v>43002006</v>
      </c>
      <c r="U45" s="17">
        <f t="shared" si="11"/>
        <v>44</v>
      </c>
      <c r="V45" s="17">
        <f t="shared" si="6"/>
        <v>43</v>
      </c>
      <c r="W45" s="17" t="str">
        <f>"BOL Platz "&amp;D45&amp;" Rang "&amp;(U45-38-4*D45)</f>
        <v>BOL Platz 1 Rang 2</v>
      </c>
    </row>
    <row r="46" spans="1:23" x14ac:dyDescent="0.35">
      <c r="A46" s="17"/>
      <c r="B46" s="17"/>
      <c r="C46" s="16"/>
      <c r="D46" s="18">
        <v>2</v>
      </c>
      <c r="E46" s="18" t="s">
        <v>395</v>
      </c>
      <c r="F46" s="18">
        <v>16</v>
      </c>
      <c r="G46" s="18">
        <v>13</v>
      </c>
      <c r="H46" s="18">
        <v>1</v>
      </c>
      <c r="I46" s="18">
        <v>2</v>
      </c>
      <c r="J46" s="18">
        <v>514</v>
      </c>
      <c r="K46" s="18" t="s">
        <v>20</v>
      </c>
      <c r="L46" s="19">
        <v>404</v>
      </c>
      <c r="M46" s="18">
        <v>27</v>
      </c>
      <c r="N46" s="18" t="s">
        <v>20</v>
      </c>
      <c r="O46" s="19">
        <v>5</v>
      </c>
      <c r="P46" s="17">
        <v>8</v>
      </c>
      <c r="Q46" s="17">
        <f t="shared" si="4"/>
        <v>209767500</v>
      </c>
      <c r="R46" s="17">
        <f t="shared" si="8"/>
        <v>56875</v>
      </c>
      <c r="S46" s="17">
        <f t="shared" si="9"/>
        <v>32125044</v>
      </c>
      <c r="T46" s="17">
        <f t="shared" si="10"/>
        <v>46006005</v>
      </c>
      <c r="U46" s="17">
        <f t="shared" si="11"/>
        <v>46</v>
      </c>
      <c r="V46" s="17">
        <f t="shared" si="6"/>
        <v>44</v>
      </c>
      <c r="W46" s="17" t="str">
        <f t="shared" ref="W46:W48" si="12">"BOL Platz "&amp;D46&amp;" Rang "&amp;(U46-38-4*D46)</f>
        <v>BOL Platz 2 Rang 0</v>
      </c>
    </row>
    <row r="47" spans="1:23" x14ac:dyDescent="0.35">
      <c r="A47" s="17"/>
      <c r="B47" s="17"/>
      <c r="C47" s="16"/>
      <c r="D47" s="18">
        <v>1</v>
      </c>
      <c r="E47" s="18" t="s">
        <v>397</v>
      </c>
      <c r="F47" s="18">
        <v>22</v>
      </c>
      <c r="G47" s="18">
        <v>21</v>
      </c>
      <c r="H47" s="18">
        <v>0</v>
      </c>
      <c r="I47" s="18">
        <v>1</v>
      </c>
      <c r="J47" s="18">
        <v>677</v>
      </c>
      <c r="K47" s="18" t="s">
        <v>20</v>
      </c>
      <c r="L47" s="19">
        <v>439</v>
      </c>
      <c r="M47" s="18">
        <v>42</v>
      </c>
      <c r="N47" s="18" t="s">
        <v>20</v>
      </c>
      <c r="O47" s="19">
        <v>2</v>
      </c>
      <c r="P47" s="17">
        <v>8</v>
      </c>
      <c r="Q47" s="17">
        <f t="shared" si="4"/>
        <v>209876363</v>
      </c>
      <c r="R47" s="17">
        <f t="shared" si="8"/>
        <v>60818</v>
      </c>
      <c r="S47" s="17">
        <f t="shared" si="9"/>
        <v>30772045</v>
      </c>
      <c r="T47" s="17">
        <f t="shared" si="10"/>
        <v>45003010</v>
      </c>
      <c r="U47" s="17">
        <f t="shared" si="11"/>
        <v>45</v>
      </c>
      <c r="V47" s="17">
        <f t="shared" si="6"/>
        <v>45</v>
      </c>
      <c r="W47" s="17" t="str">
        <f t="shared" si="12"/>
        <v>BOL Platz 1 Rang 3</v>
      </c>
    </row>
    <row r="48" spans="1:23" x14ac:dyDescent="0.35">
      <c r="A48" s="17"/>
      <c r="B48" s="17"/>
      <c r="C48" s="16"/>
      <c r="D48" s="18">
        <v>1</v>
      </c>
      <c r="E48" s="18" t="s">
        <v>399</v>
      </c>
      <c r="F48" s="18">
        <v>20</v>
      </c>
      <c r="G48" s="18">
        <v>20</v>
      </c>
      <c r="H48" s="18">
        <v>0</v>
      </c>
      <c r="I48" s="18">
        <v>0</v>
      </c>
      <c r="J48" s="18">
        <v>745</v>
      </c>
      <c r="K48" s="18" t="s">
        <v>20</v>
      </c>
      <c r="L48" s="19">
        <v>511</v>
      </c>
      <c r="M48" s="18">
        <v>40</v>
      </c>
      <c r="N48" s="18" t="s">
        <v>20</v>
      </c>
      <c r="O48" s="19">
        <v>0</v>
      </c>
      <c r="P48" s="17">
        <v>8</v>
      </c>
      <c r="Q48" s="17">
        <f t="shared" si="4"/>
        <v>209880000</v>
      </c>
      <c r="R48" s="17">
        <f t="shared" si="8"/>
        <v>61700</v>
      </c>
      <c r="S48" s="17">
        <f t="shared" si="9"/>
        <v>37250046</v>
      </c>
      <c r="T48" s="17">
        <f t="shared" si="10"/>
        <v>43001001</v>
      </c>
      <c r="U48" s="17">
        <f t="shared" si="11"/>
        <v>43</v>
      </c>
      <c r="V48" s="17">
        <f t="shared" si="6"/>
        <v>46</v>
      </c>
      <c r="W48" s="17" t="str">
        <f t="shared" si="12"/>
        <v>BOL Platz 1 Rang 1</v>
      </c>
    </row>
    <row r="49" spans="1:23" x14ac:dyDescent="0.35">
      <c r="A49" s="17"/>
      <c r="B49" s="17"/>
      <c r="C49" s="16"/>
      <c r="D49" s="18" t="s">
        <v>540</v>
      </c>
      <c r="E49" s="18" t="s">
        <v>540</v>
      </c>
      <c r="F49" s="18" t="s">
        <v>540</v>
      </c>
      <c r="G49" s="18" t="s">
        <v>540</v>
      </c>
      <c r="H49" s="18" t="s">
        <v>540</v>
      </c>
      <c r="I49" s="18" t="s">
        <v>540</v>
      </c>
      <c r="J49" s="18" t="s">
        <v>540</v>
      </c>
      <c r="K49" s="18" t="s">
        <v>540</v>
      </c>
      <c r="L49" s="19" t="s">
        <v>540</v>
      </c>
      <c r="M49" s="18" t="s">
        <v>540</v>
      </c>
      <c r="N49" s="18" t="s">
        <v>540</v>
      </c>
      <c r="O49" s="19" t="s">
        <v>540</v>
      </c>
      <c r="P49" s="17"/>
      <c r="Q49" s="17"/>
      <c r="R49" s="17"/>
      <c r="S49" s="17"/>
      <c r="T49" s="17"/>
      <c r="U49" s="17"/>
      <c r="V49" s="17"/>
      <c r="W49" s="17"/>
    </row>
    <row r="50" spans="1:23" x14ac:dyDescent="0.35">
      <c r="A50" s="17"/>
      <c r="B50" s="17"/>
      <c r="C50" s="16"/>
      <c r="D50" s="18" t="s">
        <v>540</v>
      </c>
      <c r="E50" s="18" t="s">
        <v>540</v>
      </c>
      <c r="F50" s="18" t="s">
        <v>540</v>
      </c>
      <c r="G50" s="18" t="s">
        <v>540</v>
      </c>
      <c r="H50" s="18" t="s">
        <v>540</v>
      </c>
      <c r="I50" s="18" t="s">
        <v>540</v>
      </c>
      <c r="J50" s="18" t="s">
        <v>540</v>
      </c>
      <c r="K50" s="18" t="s">
        <v>540</v>
      </c>
      <c r="L50" s="19" t="s">
        <v>540</v>
      </c>
      <c r="M50" s="18" t="s">
        <v>540</v>
      </c>
      <c r="N50" s="18" t="s">
        <v>540</v>
      </c>
      <c r="O50" s="19" t="s">
        <v>540</v>
      </c>
      <c r="P50" s="15" t="s">
        <v>198</v>
      </c>
      <c r="Q50" s="15" t="s">
        <v>199</v>
      </c>
      <c r="R50" s="15" t="s">
        <v>202</v>
      </c>
      <c r="S50" s="15" t="s">
        <v>201</v>
      </c>
      <c r="T50" s="15" t="s">
        <v>505</v>
      </c>
      <c r="U50" s="15" t="s">
        <v>203</v>
      </c>
      <c r="V50" s="15" t="s">
        <v>200</v>
      </c>
      <c r="W50" s="15" t="s">
        <v>521</v>
      </c>
    </row>
    <row r="51" spans="1:23" x14ac:dyDescent="0.35">
      <c r="A51" s="17"/>
      <c r="B51" s="16" t="s">
        <v>542</v>
      </c>
      <c r="C51" s="16" t="s">
        <v>414</v>
      </c>
      <c r="D51" s="18">
        <v>1</v>
      </c>
      <c r="E51" s="18" t="s">
        <v>415</v>
      </c>
      <c r="F51" s="18">
        <v>22</v>
      </c>
      <c r="G51" s="18">
        <v>20</v>
      </c>
      <c r="H51" s="18">
        <v>0</v>
      </c>
      <c r="I51" s="18">
        <v>2</v>
      </c>
      <c r="J51" s="18">
        <v>729</v>
      </c>
      <c r="K51" s="18" t="s">
        <v>20</v>
      </c>
      <c r="L51" s="19">
        <v>541</v>
      </c>
      <c r="M51" s="18">
        <v>40</v>
      </c>
      <c r="N51" s="18" t="s">
        <v>20</v>
      </c>
      <c r="O51" s="19">
        <v>4</v>
      </c>
      <c r="P51" s="17">
        <v>5</v>
      </c>
      <c r="Q51" s="17">
        <f t="shared" ref="Q51:Q90" si="13">INT(40000*M51/F51)+100000*(99-D51+1000*(10-P51))</f>
        <v>509872727</v>
      </c>
      <c r="R51" s="17">
        <f t="shared" ref="R51:R82" si="14">INT(1000*((J51-L51)/F51+50))</f>
        <v>58545</v>
      </c>
      <c r="S51" s="17">
        <f t="shared" ref="S51:S82" si="15">V51+1000*(INT(1000*J51/F51))</f>
        <v>33136001</v>
      </c>
      <c r="T51" s="17">
        <f t="shared" ref="T51:T90" si="16">RANK(S51,S$51:S$90)+1000*RANK(R51,R$51:R$90)+1000000*RANK(Q51,Q$51:Q$90)</f>
        <v>1003002</v>
      </c>
      <c r="U51" s="17">
        <f t="shared" ref="U51:U90" si="17">RANK(T51,T$51:T$90,1)</f>
        <v>1</v>
      </c>
      <c r="V51" s="17">
        <v>1</v>
      </c>
      <c r="W51" s="17" t="str">
        <f>"OLPlatz "&amp;D51</f>
        <v>OLPlatz 1</v>
      </c>
    </row>
    <row r="52" spans="1:23" x14ac:dyDescent="0.35">
      <c r="A52" s="17"/>
      <c r="B52" s="17"/>
      <c r="C52" s="16"/>
      <c r="D52" s="18">
        <v>2</v>
      </c>
      <c r="E52" s="18" t="s">
        <v>416</v>
      </c>
      <c r="F52" s="18">
        <v>22</v>
      </c>
      <c r="G52" s="18">
        <v>19</v>
      </c>
      <c r="H52" s="18">
        <v>0</v>
      </c>
      <c r="I52" s="18">
        <v>3</v>
      </c>
      <c r="J52" s="18">
        <v>652</v>
      </c>
      <c r="K52" s="18" t="s">
        <v>20</v>
      </c>
      <c r="L52" s="19">
        <v>513</v>
      </c>
      <c r="M52" s="18">
        <v>38</v>
      </c>
      <c r="N52" s="18" t="s">
        <v>20</v>
      </c>
      <c r="O52" s="19">
        <v>6</v>
      </c>
      <c r="P52" s="17">
        <v>5</v>
      </c>
      <c r="Q52" s="17">
        <f t="shared" si="13"/>
        <v>509769090</v>
      </c>
      <c r="R52" s="17">
        <f t="shared" si="14"/>
        <v>56318</v>
      </c>
      <c r="S52" s="17">
        <f t="shared" si="15"/>
        <v>29636002</v>
      </c>
      <c r="T52" s="17">
        <f t="shared" si="16"/>
        <v>2007009</v>
      </c>
      <c r="U52" s="17">
        <f t="shared" si="17"/>
        <v>2</v>
      </c>
      <c r="V52" s="17">
        <f t="shared" ref="V52:V90" si="18">+V51+1</f>
        <v>2</v>
      </c>
      <c r="W52" s="17" t="str">
        <f t="shared" ref="W52:W62" si="19">"OLPlatz "&amp;D52</f>
        <v>OLPlatz 2</v>
      </c>
    </row>
    <row r="53" spans="1:23" x14ac:dyDescent="0.35">
      <c r="A53" s="17"/>
      <c r="B53" s="17"/>
      <c r="C53" s="16"/>
      <c r="D53" s="18">
        <v>3</v>
      </c>
      <c r="E53" s="18" t="s">
        <v>417</v>
      </c>
      <c r="F53" s="18">
        <v>22</v>
      </c>
      <c r="G53" s="18">
        <v>17</v>
      </c>
      <c r="H53" s="18">
        <v>0</v>
      </c>
      <c r="I53" s="18">
        <v>5</v>
      </c>
      <c r="J53" s="18">
        <v>637</v>
      </c>
      <c r="K53" s="18" t="s">
        <v>20</v>
      </c>
      <c r="L53" s="19">
        <v>566</v>
      </c>
      <c r="M53" s="18">
        <v>34</v>
      </c>
      <c r="N53" s="18" t="s">
        <v>20</v>
      </c>
      <c r="O53" s="19">
        <v>10</v>
      </c>
      <c r="P53" s="17">
        <v>5</v>
      </c>
      <c r="Q53" s="17">
        <f t="shared" si="13"/>
        <v>509661818</v>
      </c>
      <c r="R53" s="17">
        <f t="shared" si="14"/>
        <v>53227</v>
      </c>
      <c r="S53" s="17">
        <f t="shared" si="15"/>
        <v>28954003</v>
      </c>
      <c r="T53" s="17">
        <f t="shared" si="16"/>
        <v>3012011</v>
      </c>
      <c r="U53" s="17">
        <f t="shared" si="17"/>
        <v>3</v>
      </c>
      <c r="V53" s="17">
        <f t="shared" si="18"/>
        <v>3</v>
      </c>
      <c r="W53" s="17" t="str">
        <f t="shared" si="19"/>
        <v>OLPlatz 3</v>
      </c>
    </row>
    <row r="54" spans="1:23" x14ac:dyDescent="0.35">
      <c r="A54" s="17"/>
      <c r="B54" s="17"/>
      <c r="C54" s="16"/>
      <c r="D54" s="18">
        <v>4</v>
      </c>
      <c r="E54" s="18" t="s">
        <v>396</v>
      </c>
      <c r="F54" s="18">
        <v>22</v>
      </c>
      <c r="G54" s="18">
        <v>15</v>
      </c>
      <c r="H54" s="18">
        <v>0</v>
      </c>
      <c r="I54" s="18">
        <v>7</v>
      </c>
      <c r="J54" s="18">
        <v>624</v>
      </c>
      <c r="K54" s="18" t="s">
        <v>20</v>
      </c>
      <c r="L54" s="19">
        <v>553</v>
      </c>
      <c r="M54" s="18">
        <v>30</v>
      </c>
      <c r="N54" s="18" t="s">
        <v>20</v>
      </c>
      <c r="O54" s="19">
        <v>14</v>
      </c>
      <c r="P54" s="17">
        <v>5</v>
      </c>
      <c r="Q54" s="17">
        <f t="shared" si="13"/>
        <v>509554545</v>
      </c>
      <c r="R54" s="17">
        <f t="shared" si="14"/>
        <v>53227</v>
      </c>
      <c r="S54" s="17">
        <f t="shared" si="15"/>
        <v>28363004</v>
      </c>
      <c r="T54" s="17">
        <f t="shared" si="16"/>
        <v>4012014</v>
      </c>
      <c r="U54" s="17">
        <f t="shared" si="17"/>
        <v>4</v>
      </c>
      <c r="V54" s="17">
        <f t="shared" si="18"/>
        <v>4</v>
      </c>
      <c r="W54" s="17" t="str">
        <f t="shared" si="19"/>
        <v>OLPlatz 4</v>
      </c>
    </row>
    <row r="55" spans="1:23" x14ac:dyDescent="0.35">
      <c r="A55" s="17"/>
      <c r="B55" s="17"/>
      <c r="C55" s="16"/>
      <c r="D55" s="18">
        <v>5</v>
      </c>
      <c r="E55" s="18" t="s">
        <v>360</v>
      </c>
      <c r="F55" s="18">
        <v>22</v>
      </c>
      <c r="G55" s="18">
        <v>12</v>
      </c>
      <c r="H55" s="18">
        <v>0</v>
      </c>
      <c r="I55" s="18">
        <v>10</v>
      </c>
      <c r="J55" s="18">
        <v>640</v>
      </c>
      <c r="K55" s="18" t="s">
        <v>20</v>
      </c>
      <c r="L55" s="19">
        <v>629</v>
      </c>
      <c r="M55" s="18">
        <v>24</v>
      </c>
      <c r="N55" s="18" t="s">
        <v>20</v>
      </c>
      <c r="O55" s="19">
        <v>20</v>
      </c>
      <c r="P55" s="17">
        <v>5</v>
      </c>
      <c r="Q55" s="17">
        <f t="shared" si="13"/>
        <v>509443636</v>
      </c>
      <c r="R55" s="17">
        <f t="shared" si="14"/>
        <v>50500</v>
      </c>
      <c r="S55" s="17">
        <f t="shared" si="15"/>
        <v>29090005</v>
      </c>
      <c r="T55" s="17">
        <f t="shared" si="16"/>
        <v>5020010</v>
      </c>
      <c r="U55" s="17">
        <f t="shared" si="17"/>
        <v>5</v>
      </c>
      <c r="V55" s="17">
        <f t="shared" si="18"/>
        <v>5</v>
      </c>
      <c r="W55" s="17" t="str">
        <f t="shared" si="19"/>
        <v>OLPlatz 5</v>
      </c>
    </row>
    <row r="56" spans="1:23" x14ac:dyDescent="0.35">
      <c r="A56" s="17"/>
      <c r="B56" s="17"/>
      <c r="C56" s="16"/>
      <c r="D56" s="18">
        <v>6</v>
      </c>
      <c r="E56" s="18" t="s">
        <v>359</v>
      </c>
      <c r="F56" s="18">
        <v>22</v>
      </c>
      <c r="G56" s="18">
        <v>12</v>
      </c>
      <c r="H56" s="18">
        <v>0</v>
      </c>
      <c r="I56" s="18">
        <v>10</v>
      </c>
      <c r="J56" s="18">
        <v>562</v>
      </c>
      <c r="K56" s="18" t="s">
        <v>20</v>
      </c>
      <c r="L56" s="19">
        <v>490</v>
      </c>
      <c r="M56" s="18">
        <v>24</v>
      </c>
      <c r="N56" s="18" t="s">
        <v>20</v>
      </c>
      <c r="O56" s="19">
        <v>20</v>
      </c>
      <c r="P56" s="17">
        <v>5</v>
      </c>
      <c r="Q56" s="17">
        <f t="shared" si="13"/>
        <v>509343636</v>
      </c>
      <c r="R56" s="17">
        <f t="shared" si="14"/>
        <v>53272</v>
      </c>
      <c r="S56" s="17">
        <f t="shared" si="15"/>
        <v>25545006</v>
      </c>
      <c r="T56" s="17">
        <f t="shared" si="16"/>
        <v>6011028</v>
      </c>
      <c r="U56" s="17">
        <f t="shared" si="17"/>
        <v>6</v>
      </c>
      <c r="V56" s="17">
        <f t="shared" si="18"/>
        <v>6</v>
      </c>
      <c r="W56" s="17" t="str">
        <f t="shared" si="19"/>
        <v>OLPlatz 6</v>
      </c>
    </row>
    <row r="57" spans="1:23" x14ac:dyDescent="0.35">
      <c r="A57" s="17"/>
      <c r="B57" s="17"/>
      <c r="C57" s="16"/>
      <c r="D57" s="18">
        <v>7</v>
      </c>
      <c r="E57" s="18" t="s">
        <v>384</v>
      </c>
      <c r="F57" s="18">
        <v>22</v>
      </c>
      <c r="G57" s="18">
        <v>10</v>
      </c>
      <c r="H57" s="18">
        <v>2</v>
      </c>
      <c r="I57" s="18">
        <v>10</v>
      </c>
      <c r="J57" s="18">
        <v>605</v>
      </c>
      <c r="K57" s="18" t="s">
        <v>20</v>
      </c>
      <c r="L57" s="19">
        <v>631</v>
      </c>
      <c r="M57" s="18">
        <v>22</v>
      </c>
      <c r="N57" s="18" t="s">
        <v>20</v>
      </c>
      <c r="O57" s="19">
        <v>22</v>
      </c>
      <c r="P57" s="17">
        <v>5</v>
      </c>
      <c r="Q57" s="17">
        <f t="shared" si="13"/>
        <v>509240000</v>
      </c>
      <c r="R57" s="17">
        <f t="shared" si="14"/>
        <v>48818</v>
      </c>
      <c r="S57" s="17">
        <f t="shared" si="15"/>
        <v>27500007</v>
      </c>
      <c r="T57" s="17">
        <f t="shared" si="16"/>
        <v>7026019</v>
      </c>
      <c r="U57" s="17">
        <f t="shared" si="17"/>
        <v>7</v>
      </c>
      <c r="V57" s="17">
        <f t="shared" si="18"/>
        <v>7</v>
      </c>
      <c r="W57" s="17" t="str">
        <f t="shared" si="19"/>
        <v>OLPlatz 7</v>
      </c>
    </row>
    <row r="58" spans="1:23" x14ac:dyDescent="0.35">
      <c r="A58" s="17"/>
      <c r="B58" s="17"/>
      <c r="C58" s="16"/>
      <c r="D58" s="18">
        <v>8</v>
      </c>
      <c r="E58" s="18" t="s">
        <v>383</v>
      </c>
      <c r="F58" s="18">
        <v>22</v>
      </c>
      <c r="G58" s="18">
        <v>11</v>
      </c>
      <c r="H58" s="18">
        <v>0</v>
      </c>
      <c r="I58" s="18">
        <v>11</v>
      </c>
      <c r="J58" s="18">
        <v>563</v>
      </c>
      <c r="K58" s="18" t="s">
        <v>20</v>
      </c>
      <c r="L58" s="19">
        <v>582</v>
      </c>
      <c r="M58" s="18">
        <v>22</v>
      </c>
      <c r="N58" s="18" t="s">
        <v>20</v>
      </c>
      <c r="O58" s="19">
        <v>22</v>
      </c>
      <c r="P58" s="17">
        <v>5</v>
      </c>
      <c r="Q58" s="17">
        <f t="shared" si="13"/>
        <v>509140000</v>
      </c>
      <c r="R58" s="17">
        <f t="shared" si="14"/>
        <v>49136</v>
      </c>
      <c r="S58" s="17">
        <f t="shared" si="15"/>
        <v>25590008</v>
      </c>
      <c r="T58" s="17">
        <f t="shared" si="16"/>
        <v>8024026</v>
      </c>
      <c r="U58" s="17">
        <f t="shared" si="17"/>
        <v>8</v>
      </c>
      <c r="V58" s="17">
        <f t="shared" si="18"/>
        <v>8</v>
      </c>
      <c r="W58" s="17" t="str">
        <f t="shared" si="19"/>
        <v>OLPlatz 8</v>
      </c>
    </row>
    <row r="59" spans="1:23" x14ac:dyDescent="0.35">
      <c r="A59" s="17"/>
      <c r="B59" s="17"/>
      <c r="C59" s="16"/>
      <c r="D59" s="18">
        <v>9</v>
      </c>
      <c r="E59" s="18" t="s">
        <v>418</v>
      </c>
      <c r="F59" s="18">
        <v>22</v>
      </c>
      <c r="G59" s="18">
        <v>6</v>
      </c>
      <c r="H59" s="18">
        <v>0</v>
      </c>
      <c r="I59" s="18">
        <v>16</v>
      </c>
      <c r="J59" s="18">
        <v>599</v>
      </c>
      <c r="K59" s="18" t="s">
        <v>20</v>
      </c>
      <c r="L59" s="19">
        <v>695</v>
      </c>
      <c r="M59" s="18">
        <v>12</v>
      </c>
      <c r="N59" s="18" t="s">
        <v>20</v>
      </c>
      <c r="O59" s="19">
        <v>32</v>
      </c>
      <c r="P59" s="17">
        <v>5</v>
      </c>
      <c r="Q59" s="17">
        <f t="shared" si="13"/>
        <v>509021818</v>
      </c>
      <c r="R59" s="17">
        <f t="shared" si="14"/>
        <v>45636</v>
      </c>
      <c r="S59" s="17">
        <f t="shared" si="15"/>
        <v>27227009</v>
      </c>
      <c r="T59" s="17">
        <f t="shared" si="16"/>
        <v>9033020</v>
      </c>
      <c r="U59" s="17">
        <f t="shared" si="17"/>
        <v>9</v>
      </c>
      <c r="V59" s="17">
        <f t="shared" si="18"/>
        <v>9</v>
      </c>
      <c r="W59" s="17" t="str">
        <f t="shared" si="19"/>
        <v>OLPlatz 9</v>
      </c>
    </row>
    <row r="60" spans="1:23" x14ac:dyDescent="0.35">
      <c r="A60" s="17"/>
      <c r="B60" s="17"/>
      <c r="C60" s="16"/>
      <c r="D60" s="18">
        <v>10</v>
      </c>
      <c r="E60" s="18" t="s">
        <v>392</v>
      </c>
      <c r="F60" s="18">
        <v>22</v>
      </c>
      <c r="G60" s="18">
        <v>3</v>
      </c>
      <c r="H60" s="18">
        <v>1</v>
      </c>
      <c r="I60" s="18">
        <v>18</v>
      </c>
      <c r="J60" s="18">
        <v>607</v>
      </c>
      <c r="K60" s="18" t="s">
        <v>20</v>
      </c>
      <c r="L60" s="19">
        <v>734</v>
      </c>
      <c r="M60" s="18">
        <v>7</v>
      </c>
      <c r="N60" s="18" t="s">
        <v>20</v>
      </c>
      <c r="O60" s="19">
        <v>37</v>
      </c>
      <c r="P60" s="17">
        <v>5</v>
      </c>
      <c r="Q60" s="17">
        <f t="shared" si="13"/>
        <v>508912727</v>
      </c>
      <c r="R60" s="17">
        <f t="shared" si="14"/>
        <v>44227</v>
      </c>
      <c r="S60" s="17">
        <f t="shared" si="15"/>
        <v>27590010</v>
      </c>
      <c r="T60" s="17">
        <f t="shared" si="16"/>
        <v>10036018</v>
      </c>
      <c r="U60" s="17">
        <f t="shared" si="17"/>
        <v>10</v>
      </c>
      <c r="V60" s="17">
        <f t="shared" si="18"/>
        <v>10</v>
      </c>
      <c r="W60" s="17" t="str">
        <f t="shared" si="19"/>
        <v>OLPlatz 10</v>
      </c>
    </row>
    <row r="61" spans="1:23" x14ac:dyDescent="0.35">
      <c r="A61" s="17"/>
      <c r="B61" s="17"/>
      <c r="C61" s="16"/>
      <c r="D61" s="18">
        <v>11</v>
      </c>
      <c r="E61" s="18" t="s">
        <v>382</v>
      </c>
      <c r="F61" s="18">
        <v>22</v>
      </c>
      <c r="G61" s="18">
        <v>3</v>
      </c>
      <c r="H61" s="18">
        <v>0</v>
      </c>
      <c r="I61" s="18">
        <v>19</v>
      </c>
      <c r="J61" s="18">
        <v>535</v>
      </c>
      <c r="K61" s="18" t="s">
        <v>20</v>
      </c>
      <c r="L61" s="19">
        <v>695</v>
      </c>
      <c r="M61" s="18">
        <v>6</v>
      </c>
      <c r="N61" s="18" t="s">
        <v>20</v>
      </c>
      <c r="O61" s="19">
        <v>38</v>
      </c>
      <c r="P61" s="17">
        <v>5</v>
      </c>
      <c r="Q61" s="17">
        <f t="shared" si="13"/>
        <v>508810909</v>
      </c>
      <c r="R61" s="17">
        <f t="shared" si="14"/>
        <v>42727</v>
      </c>
      <c r="S61" s="17">
        <f t="shared" si="15"/>
        <v>24318011</v>
      </c>
      <c r="T61" s="17">
        <f t="shared" si="16"/>
        <v>11039033</v>
      </c>
      <c r="U61" s="17">
        <f t="shared" si="17"/>
        <v>11</v>
      </c>
      <c r="V61" s="17">
        <f t="shared" si="18"/>
        <v>11</v>
      </c>
      <c r="W61" s="17" t="str">
        <f t="shared" si="19"/>
        <v>OLPlatz 11</v>
      </c>
    </row>
    <row r="62" spans="1:23" x14ac:dyDescent="0.35">
      <c r="A62" s="17"/>
      <c r="B62" s="17"/>
      <c r="C62" s="16"/>
      <c r="D62" s="18">
        <v>12</v>
      </c>
      <c r="E62" s="18" t="s">
        <v>373</v>
      </c>
      <c r="F62" s="18">
        <v>22</v>
      </c>
      <c r="G62" s="18">
        <v>2</v>
      </c>
      <c r="H62" s="18">
        <v>1</v>
      </c>
      <c r="I62" s="18">
        <v>19</v>
      </c>
      <c r="J62" s="18">
        <v>462</v>
      </c>
      <c r="K62" s="18" t="s">
        <v>20</v>
      </c>
      <c r="L62" s="19">
        <v>586</v>
      </c>
      <c r="M62" s="18">
        <v>5</v>
      </c>
      <c r="N62" s="18" t="s">
        <v>20</v>
      </c>
      <c r="O62" s="19">
        <v>39</v>
      </c>
      <c r="P62" s="17">
        <v>5</v>
      </c>
      <c r="Q62" s="17">
        <f t="shared" si="13"/>
        <v>508709090</v>
      </c>
      <c r="R62" s="17">
        <f t="shared" si="14"/>
        <v>44363</v>
      </c>
      <c r="S62" s="17">
        <f t="shared" si="15"/>
        <v>21000012</v>
      </c>
      <c r="T62" s="17">
        <f t="shared" si="16"/>
        <v>12035040</v>
      </c>
      <c r="U62" s="17">
        <f t="shared" si="17"/>
        <v>12</v>
      </c>
      <c r="V62" s="17">
        <f t="shared" si="18"/>
        <v>12</v>
      </c>
      <c r="W62" s="17" t="str">
        <f t="shared" si="19"/>
        <v>OLPlatz 12</v>
      </c>
    </row>
    <row r="63" spans="1:23" x14ac:dyDescent="0.35">
      <c r="A63" s="17"/>
      <c r="B63" s="17"/>
      <c r="C63" s="16" t="s">
        <v>419</v>
      </c>
      <c r="D63" s="18">
        <v>1</v>
      </c>
      <c r="E63" s="18" t="s">
        <v>358</v>
      </c>
      <c r="F63" s="18">
        <v>22</v>
      </c>
      <c r="G63" s="18">
        <v>19</v>
      </c>
      <c r="H63" s="18">
        <v>1</v>
      </c>
      <c r="I63" s="18">
        <v>2</v>
      </c>
      <c r="J63" s="18">
        <v>653</v>
      </c>
      <c r="K63" s="18" t="s">
        <v>20</v>
      </c>
      <c r="L63" s="19">
        <v>513</v>
      </c>
      <c r="M63" s="18">
        <v>39</v>
      </c>
      <c r="N63" s="18" t="s">
        <v>20</v>
      </c>
      <c r="O63" s="19">
        <v>5</v>
      </c>
      <c r="P63" s="17">
        <v>7</v>
      </c>
      <c r="Q63" s="17">
        <f t="shared" si="13"/>
        <v>309870909</v>
      </c>
      <c r="R63" s="17">
        <f t="shared" si="14"/>
        <v>56363</v>
      </c>
      <c r="S63" s="17">
        <f t="shared" si="15"/>
        <v>29681013</v>
      </c>
      <c r="T63" s="17">
        <f t="shared" si="16"/>
        <v>14006008</v>
      </c>
      <c r="U63" s="17">
        <f t="shared" si="17"/>
        <v>14</v>
      </c>
      <c r="V63" s="17">
        <f t="shared" si="18"/>
        <v>13</v>
      </c>
      <c r="W63" s="17" t="str">
        <f>"LL Platz "&amp;D63&amp;" Rang "&amp;(U63-10-2*D63)</f>
        <v>LL Platz 1 Rang 2</v>
      </c>
    </row>
    <row r="64" spans="1:23" x14ac:dyDescent="0.35">
      <c r="A64" s="17"/>
      <c r="B64" s="17"/>
      <c r="C64" s="16"/>
      <c r="D64" s="18">
        <v>2</v>
      </c>
      <c r="E64" s="18" t="s">
        <v>393</v>
      </c>
      <c r="F64" s="18">
        <v>22</v>
      </c>
      <c r="G64" s="18">
        <v>19</v>
      </c>
      <c r="H64" s="18">
        <v>1</v>
      </c>
      <c r="I64" s="18">
        <v>2</v>
      </c>
      <c r="J64" s="18">
        <v>725</v>
      </c>
      <c r="K64" s="18" t="s">
        <v>20</v>
      </c>
      <c r="L64" s="19">
        <v>473</v>
      </c>
      <c r="M64" s="18">
        <v>39</v>
      </c>
      <c r="N64" s="18" t="s">
        <v>20</v>
      </c>
      <c r="O64" s="19">
        <v>5</v>
      </c>
      <c r="P64" s="17">
        <v>7</v>
      </c>
      <c r="Q64" s="17">
        <f t="shared" si="13"/>
        <v>309770909</v>
      </c>
      <c r="R64" s="17">
        <f t="shared" si="14"/>
        <v>61454</v>
      </c>
      <c r="S64" s="17">
        <f t="shared" si="15"/>
        <v>32954014</v>
      </c>
      <c r="T64" s="17">
        <f t="shared" si="16"/>
        <v>16001003</v>
      </c>
      <c r="U64" s="17">
        <f t="shared" si="17"/>
        <v>16</v>
      </c>
      <c r="V64" s="17">
        <f t="shared" si="18"/>
        <v>14</v>
      </c>
      <c r="W64" s="17" t="str">
        <f t="shared" ref="W64:W86" si="20">"LL Platz "&amp;D64&amp;" Rang "&amp;(U64-10-2*D64)</f>
        <v>LL Platz 2 Rang 2</v>
      </c>
    </row>
    <row r="65" spans="1:23" x14ac:dyDescent="0.35">
      <c r="A65" s="17"/>
      <c r="B65" s="17"/>
      <c r="C65" s="16"/>
      <c r="D65" s="18">
        <v>3</v>
      </c>
      <c r="E65" s="18" t="s">
        <v>363</v>
      </c>
      <c r="F65" s="18">
        <v>22</v>
      </c>
      <c r="G65" s="18">
        <v>12</v>
      </c>
      <c r="H65" s="18">
        <v>1</v>
      </c>
      <c r="I65" s="18">
        <v>9</v>
      </c>
      <c r="J65" s="18">
        <v>585</v>
      </c>
      <c r="K65" s="18" t="s">
        <v>20</v>
      </c>
      <c r="L65" s="19">
        <v>558</v>
      </c>
      <c r="M65" s="18">
        <v>25</v>
      </c>
      <c r="N65" s="18" t="s">
        <v>20</v>
      </c>
      <c r="O65" s="19">
        <v>19</v>
      </c>
      <c r="P65" s="17">
        <v>7</v>
      </c>
      <c r="Q65" s="17">
        <f t="shared" si="13"/>
        <v>309645454</v>
      </c>
      <c r="R65" s="17">
        <f t="shared" si="14"/>
        <v>51227</v>
      </c>
      <c r="S65" s="17">
        <f t="shared" si="15"/>
        <v>26590015</v>
      </c>
      <c r="T65" s="17">
        <f t="shared" si="16"/>
        <v>18018023</v>
      </c>
      <c r="U65" s="17">
        <f t="shared" si="17"/>
        <v>18</v>
      </c>
      <c r="V65" s="17">
        <f t="shared" si="18"/>
        <v>15</v>
      </c>
      <c r="W65" s="17" t="str">
        <f t="shared" si="20"/>
        <v>LL Platz 3 Rang 2</v>
      </c>
    </row>
    <row r="66" spans="1:23" x14ac:dyDescent="0.35">
      <c r="A66" s="17"/>
      <c r="B66" s="17"/>
      <c r="C66" s="16"/>
      <c r="D66" s="18">
        <v>4</v>
      </c>
      <c r="E66" s="18" t="s">
        <v>375</v>
      </c>
      <c r="F66" s="18">
        <v>22</v>
      </c>
      <c r="G66" s="18">
        <v>11</v>
      </c>
      <c r="H66" s="18">
        <v>2</v>
      </c>
      <c r="I66" s="18">
        <v>9</v>
      </c>
      <c r="J66" s="18">
        <v>631</v>
      </c>
      <c r="K66" s="18" t="s">
        <v>20</v>
      </c>
      <c r="L66" s="19">
        <v>588</v>
      </c>
      <c r="M66" s="18">
        <v>24</v>
      </c>
      <c r="N66" s="18" t="s">
        <v>20</v>
      </c>
      <c r="O66" s="19">
        <v>20</v>
      </c>
      <c r="P66" s="17">
        <v>7</v>
      </c>
      <c r="Q66" s="17">
        <f t="shared" si="13"/>
        <v>309543636</v>
      </c>
      <c r="R66" s="17">
        <f t="shared" si="14"/>
        <v>51954</v>
      </c>
      <c r="S66" s="17">
        <f t="shared" si="15"/>
        <v>28681016</v>
      </c>
      <c r="T66" s="17">
        <f t="shared" si="16"/>
        <v>20017012</v>
      </c>
      <c r="U66" s="17">
        <f t="shared" si="17"/>
        <v>20</v>
      </c>
      <c r="V66" s="17">
        <f t="shared" si="18"/>
        <v>16</v>
      </c>
      <c r="W66" s="17" t="str">
        <f t="shared" si="20"/>
        <v>LL Platz 4 Rang 2</v>
      </c>
    </row>
    <row r="67" spans="1:23" x14ac:dyDescent="0.35">
      <c r="A67" s="17"/>
      <c r="B67" s="17"/>
      <c r="C67" s="16"/>
      <c r="D67" s="18">
        <v>5</v>
      </c>
      <c r="E67" s="18" t="s">
        <v>420</v>
      </c>
      <c r="F67" s="18">
        <v>22</v>
      </c>
      <c r="G67" s="18">
        <v>10</v>
      </c>
      <c r="H67" s="18">
        <v>1</v>
      </c>
      <c r="I67" s="18">
        <v>11</v>
      </c>
      <c r="J67" s="18">
        <v>625</v>
      </c>
      <c r="K67" s="18" t="s">
        <v>20</v>
      </c>
      <c r="L67" s="19">
        <v>607</v>
      </c>
      <c r="M67" s="18">
        <v>21</v>
      </c>
      <c r="N67" s="18" t="s">
        <v>20</v>
      </c>
      <c r="O67" s="19">
        <v>23</v>
      </c>
      <c r="P67" s="17">
        <v>7</v>
      </c>
      <c r="Q67" s="17">
        <f t="shared" si="13"/>
        <v>309438181</v>
      </c>
      <c r="R67" s="17">
        <f t="shared" si="14"/>
        <v>50818</v>
      </c>
      <c r="S67" s="17">
        <f t="shared" si="15"/>
        <v>28409017</v>
      </c>
      <c r="T67" s="17">
        <f t="shared" si="16"/>
        <v>22019013</v>
      </c>
      <c r="U67" s="17">
        <f t="shared" si="17"/>
        <v>22</v>
      </c>
      <c r="V67" s="17">
        <f t="shared" si="18"/>
        <v>17</v>
      </c>
      <c r="W67" s="17" t="str">
        <f t="shared" si="20"/>
        <v>LL Platz 5 Rang 2</v>
      </c>
    </row>
    <row r="68" spans="1:23" x14ac:dyDescent="0.35">
      <c r="A68" s="17"/>
      <c r="B68" s="17"/>
      <c r="C68" s="16"/>
      <c r="D68" s="18">
        <v>6</v>
      </c>
      <c r="E68" s="18" t="s">
        <v>421</v>
      </c>
      <c r="F68" s="18">
        <v>22</v>
      </c>
      <c r="G68" s="18">
        <v>10</v>
      </c>
      <c r="H68" s="18">
        <v>0</v>
      </c>
      <c r="I68" s="18">
        <v>12</v>
      </c>
      <c r="J68" s="18">
        <v>615</v>
      </c>
      <c r="K68" s="18" t="s">
        <v>20</v>
      </c>
      <c r="L68" s="19">
        <v>674</v>
      </c>
      <c r="M68" s="18">
        <v>20</v>
      </c>
      <c r="N68" s="18" t="s">
        <v>20</v>
      </c>
      <c r="O68" s="19">
        <v>24</v>
      </c>
      <c r="P68" s="17">
        <v>7</v>
      </c>
      <c r="Q68" s="17">
        <f t="shared" si="13"/>
        <v>309336363</v>
      </c>
      <c r="R68" s="17">
        <f t="shared" si="14"/>
        <v>47318</v>
      </c>
      <c r="S68" s="17">
        <f t="shared" si="15"/>
        <v>27954018</v>
      </c>
      <c r="T68" s="17">
        <f t="shared" si="16"/>
        <v>23030015</v>
      </c>
      <c r="U68" s="17">
        <f t="shared" si="17"/>
        <v>24</v>
      </c>
      <c r="V68" s="17">
        <f t="shared" si="18"/>
        <v>18</v>
      </c>
      <c r="W68" s="17" t="str">
        <f t="shared" si="20"/>
        <v>LL Platz 6 Rang 2</v>
      </c>
    </row>
    <row r="69" spans="1:23" x14ac:dyDescent="0.35">
      <c r="A69" s="17"/>
      <c r="B69" s="17"/>
      <c r="C69" s="16"/>
      <c r="D69" s="18">
        <v>7</v>
      </c>
      <c r="E69" s="18" t="s">
        <v>366</v>
      </c>
      <c r="F69" s="18">
        <v>22</v>
      </c>
      <c r="G69" s="18">
        <v>9</v>
      </c>
      <c r="H69" s="18">
        <v>2</v>
      </c>
      <c r="I69" s="18">
        <v>11</v>
      </c>
      <c r="J69" s="18">
        <v>487</v>
      </c>
      <c r="K69" s="18" t="s">
        <v>20</v>
      </c>
      <c r="L69" s="19">
        <v>545</v>
      </c>
      <c r="M69" s="18">
        <v>20</v>
      </c>
      <c r="N69" s="18" t="s">
        <v>20</v>
      </c>
      <c r="O69" s="19">
        <v>24</v>
      </c>
      <c r="P69" s="17">
        <v>7</v>
      </c>
      <c r="Q69" s="17">
        <f t="shared" si="13"/>
        <v>309236363</v>
      </c>
      <c r="R69" s="17">
        <f t="shared" si="14"/>
        <v>47363</v>
      </c>
      <c r="S69" s="17">
        <f t="shared" si="15"/>
        <v>22136019</v>
      </c>
      <c r="T69" s="17">
        <f t="shared" si="16"/>
        <v>25029038</v>
      </c>
      <c r="U69" s="17">
        <f t="shared" si="17"/>
        <v>25</v>
      </c>
      <c r="V69" s="17">
        <f t="shared" si="18"/>
        <v>19</v>
      </c>
      <c r="W69" s="17" t="str">
        <f t="shared" si="20"/>
        <v>LL Platz 7 Rang 1</v>
      </c>
    </row>
    <row r="70" spans="1:23" x14ac:dyDescent="0.35">
      <c r="A70" s="17"/>
      <c r="B70" s="17"/>
      <c r="C70" s="16"/>
      <c r="D70" s="18">
        <v>8</v>
      </c>
      <c r="E70" s="18" t="s">
        <v>365</v>
      </c>
      <c r="F70" s="18">
        <v>22</v>
      </c>
      <c r="G70" s="18">
        <v>9</v>
      </c>
      <c r="H70" s="18">
        <v>2</v>
      </c>
      <c r="I70" s="18">
        <v>11</v>
      </c>
      <c r="J70" s="18">
        <v>590</v>
      </c>
      <c r="K70" s="18" t="s">
        <v>20</v>
      </c>
      <c r="L70" s="19">
        <v>591</v>
      </c>
      <c r="M70" s="18">
        <v>20</v>
      </c>
      <c r="N70" s="18" t="s">
        <v>20</v>
      </c>
      <c r="O70" s="19">
        <v>24</v>
      </c>
      <c r="P70" s="17">
        <v>7</v>
      </c>
      <c r="Q70" s="17">
        <f t="shared" si="13"/>
        <v>309136363</v>
      </c>
      <c r="R70" s="17">
        <f t="shared" si="14"/>
        <v>49954</v>
      </c>
      <c r="S70" s="17">
        <f t="shared" si="15"/>
        <v>26818020</v>
      </c>
      <c r="T70" s="17">
        <f t="shared" si="16"/>
        <v>27023021</v>
      </c>
      <c r="U70" s="17">
        <f t="shared" si="17"/>
        <v>27</v>
      </c>
      <c r="V70" s="17">
        <f t="shared" si="18"/>
        <v>20</v>
      </c>
      <c r="W70" s="17" t="str">
        <f t="shared" si="20"/>
        <v>LL Platz 8 Rang 1</v>
      </c>
    </row>
    <row r="71" spans="1:23" x14ac:dyDescent="0.35">
      <c r="A71" s="17"/>
      <c r="B71" s="17"/>
      <c r="C71" s="16"/>
      <c r="D71" s="18">
        <v>9</v>
      </c>
      <c r="E71" s="18" t="s">
        <v>353</v>
      </c>
      <c r="F71" s="18">
        <v>22</v>
      </c>
      <c r="G71" s="18">
        <v>9</v>
      </c>
      <c r="H71" s="18">
        <v>1</v>
      </c>
      <c r="I71" s="18">
        <v>12</v>
      </c>
      <c r="J71" s="18">
        <v>552</v>
      </c>
      <c r="K71" s="18" t="s">
        <v>20</v>
      </c>
      <c r="L71" s="19">
        <v>583</v>
      </c>
      <c r="M71" s="18">
        <v>19</v>
      </c>
      <c r="N71" s="18" t="s">
        <v>20</v>
      </c>
      <c r="O71" s="19">
        <v>25</v>
      </c>
      <c r="P71" s="17">
        <v>7</v>
      </c>
      <c r="Q71" s="17">
        <f t="shared" si="13"/>
        <v>309034545</v>
      </c>
      <c r="R71" s="17">
        <f t="shared" si="14"/>
        <v>48590</v>
      </c>
      <c r="S71" s="17">
        <f t="shared" si="15"/>
        <v>25090021</v>
      </c>
      <c r="T71" s="17">
        <f t="shared" si="16"/>
        <v>29027030</v>
      </c>
      <c r="U71" s="17">
        <f t="shared" si="17"/>
        <v>29</v>
      </c>
      <c r="V71" s="17">
        <f t="shared" si="18"/>
        <v>21</v>
      </c>
      <c r="W71" s="17" t="str">
        <f t="shared" si="20"/>
        <v>LL Platz 9 Rang 1</v>
      </c>
    </row>
    <row r="72" spans="1:23" x14ac:dyDescent="0.35">
      <c r="A72" s="17"/>
      <c r="B72" s="17"/>
      <c r="C72" s="16"/>
      <c r="D72" s="18">
        <v>10</v>
      </c>
      <c r="E72" s="18" t="s">
        <v>372</v>
      </c>
      <c r="F72" s="18">
        <v>22</v>
      </c>
      <c r="G72" s="18">
        <v>7</v>
      </c>
      <c r="H72" s="18">
        <v>2</v>
      </c>
      <c r="I72" s="18">
        <v>13</v>
      </c>
      <c r="J72" s="18">
        <v>533</v>
      </c>
      <c r="K72" s="18" t="s">
        <v>20</v>
      </c>
      <c r="L72" s="19">
        <v>625</v>
      </c>
      <c r="M72" s="18">
        <v>16</v>
      </c>
      <c r="N72" s="18" t="s">
        <v>20</v>
      </c>
      <c r="O72" s="19">
        <v>28</v>
      </c>
      <c r="P72" s="17">
        <v>7</v>
      </c>
      <c r="Q72" s="17">
        <f t="shared" si="13"/>
        <v>308929090</v>
      </c>
      <c r="R72" s="17">
        <f t="shared" si="14"/>
        <v>45818</v>
      </c>
      <c r="S72" s="17">
        <f t="shared" si="15"/>
        <v>24227022</v>
      </c>
      <c r="T72" s="17">
        <f t="shared" si="16"/>
        <v>31032034</v>
      </c>
      <c r="U72" s="17">
        <f t="shared" si="17"/>
        <v>31</v>
      </c>
      <c r="V72" s="17">
        <f t="shared" si="18"/>
        <v>22</v>
      </c>
      <c r="W72" s="17" t="str">
        <f t="shared" si="20"/>
        <v>LL Platz 10 Rang 1</v>
      </c>
    </row>
    <row r="73" spans="1:23" x14ac:dyDescent="0.35">
      <c r="A73" s="17"/>
      <c r="B73" s="17"/>
      <c r="C73" s="16"/>
      <c r="D73" s="18">
        <v>11</v>
      </c>
      <c r="E73" s="18" t="s">
        <v>422</v>
      </c>
      <c r="F73" s="18">
        <v>22</v>
      </c>
      <c r="G73" s="18">
        <v>5</v>
      </c>
      <c r="H73" s="18">
        <v>2</v>
      </c>
      <c r="I73" s="18">
        <v>15</v>
      </c>
      <c r="J73" s="18">
        <v>527</v>
      </c>
      <c r="K73" s="18" t="s">
        <v>20</v>
      </c>
      <c r="L73" s="19">
        <v>611</v>
      </c>
      <c r="M73" s="18">
        <v>12</v>
      </c>
      <c r="N73" s="18" t="s">
        <v>20</v>
      </c>
      <c r="O73" s="19">
        <v>32</v>
      </c>
      <c r="P73" s="17">
        <v>7</v>
      </c>
      <c r="Q73" s="17">
        <f t="shared" si="13"/>
        <v>308821818</v>
      </c>
      <c r="R73" s="17">
        <f t="shared" si="14"/>
        <v>46181</v>
      </c>
      <c r="S73" s="17">
        <f t="shared" si="15"/>
        <v>23954023</v>
      </c>
      <c r="T73" s="17">
        <f t="shared" si="16"/>
        <v>33031035</v>
      </c>
      <c r="U73" s="17">
        <f t="shared" si="17"/>
        <v>33</v>
      </c>
      <c r="V73" s="17">
        <f t="shared" si="18"/>
        <v>23</v>
      </c>
      <c r="W73" s="17" t="str">
        <f t="shared" si="20"/>
        <v>LL Platz 11 Rang 1</v>
      </c>
    </row>
    <row r="74" spans="1:23" x14ac:dyDescent="0.35">
      <c r="A74" s="17"/>
      <c r="B74" s="17"/>
      <c r="C74" s="16"/>
      <c r="D74" s="18">
        <v>12</v>
      </c>
      <c r="E74" s="18" t="s">
        <v>423</v>
      </c>
      <c r="F74" s="18">
        <v>22</v>
      </c>
      <c r="G74" s="18">
        <v>3</v>
      </c>
      <c r="H74" s="18">
        <v>3</v>
      </c>
      <c r="I74" s="18">
        <v>16</v>
      </c>
      <c r="J74" s="18">
        <v>517</v>
      </c>
      <c r="K74" s="18" t="s">
        <v>20</v>
      </c>
      <c r="L74" s="19">
        <v>672</v>
      </c>
      <c r="M74" s="18">
        <v>9</v>
      </c>
      <c r="N74" s="18" t="s">
        <v>20</v>
      </c>
      <c r="O74" s="19">
        <v>35</v>
      </c>
      <c r="P74" s="17">
        <v>7</v>
      </c>
      <c r="Q74" s="17">
        <f t="shared" si="13"/>
        <v>308716363</v>
      </c>
      <c r="R74" s="17">
        <f t="shared" si="14"/>
        <v>42954</v>
      </c>
      <c r="S74" s="17">
        <f t="shared" si="15"/>
        <v>23500024</v>
      </c>
      <c r="T74" s="17">
        <f t="shared" si="16"/>
        <v>35038036</v>
      </c>
      <c r="U74" s="17">
        <f t="shared" si="17"/>
        <v>35</v>
      </c>
      <c r="V74" s="17">
        <f t="shared" si="18"/>
        <v>24</v>
      </c>
      <c r="W74" s="17" t="str">
        <f t="shared" si="20"/>
        <v>LL Platz 12 Rang 1</v>
      </c>
    </row>
    <row r="75" spans="1:23" x14ac:dyDescent="0.35">
      <c r="A75" s="17"/>
      <c r="B75" s="17"/>
      <c r="C75" s="16" t="s">
        <v>424</v>
      </c>
      <c r="D75" s="18">
        <v>1</v>
      </c>
      <c r="E75" s="18" t="s">
        <v>425</v>
      </c>
      <c r="F75" s="18">
        <v>22</v>
      </c>
      <c r="G75" s="18">
        <v>20</v>
      </c>
      <c r="H75" s="18">
        <v>1</v>
      </c>
      <c r="I75" s="18">
        <v>1</v>
      </c>
      <c r="J75" s="18">
        <v>779</v>
      </c>
      <c r="K75" s="18" t="s">
        <v>20</v>
      </c>
      <c r="L75" s="19">
        <v>531</v>
      </c>
      <c r="M75" s="18">
        <v>41</v>
      </c>
      <c r="N75" s="18" t="s">
        <v>20</v>
      </c>
      <c r="O75" s="19">
        <v>3</v>
      </c>
      <c r="P75" s="17">
        <v>7</v>
      </c>
      <c r="Q75" s="17">
        <f t="shared" si="13"/>
        <v>309874545</v>
      </c>
      <c r="R75" s="17">
        <f t="shared" si="14"/>
        <v>61272</v>
      </c>
      <c r="S75" s="17">
        <f t="shared" si="15"/>
        <v>35409025</v>
      </c>
      <c r="T75" s="17">
        <f t="shared" si="16"/>
        <v>13002001</v>
      </c>
      <c r="U75" s="17">
        <f t="shared" si="17"/>
        <v>13</v>
      </c>
      <c r="V75" s="17">
        <f t="shared" si="18"/>
        <v>25</v>
      </c>
      <c r="W75" s="17" t="str">
        <f t="shared" si="20"/>
        <v>LL Platz 1 Rang 1</v>
      </c>
    </row>
    <row r="76" spans="1:23" x14ac:dyDescent="0.35">
      <c r="A76" s="17"/>
      <c r="B76" s="17"/>
      <c r="C76" s="16"/>
      <c r="D76" s="18">
        <v>2</v>
      </c>
      <c r="E76" s="18" t="s">
        <v>385</v>
      </c>
      <c r="F76" s="18">
        <v>22</v>
      </c>
      <c r="G76" s="18">
        <v>20</v>
      </c>
      <c r="H76" s="18">
        <v>0</v>
      </c>
      <c r="I76" s="18">
        <v>2</v>
      </c>
      <c r="J76" s="18">
        <v>689</v>
      </c>
      <c r="K76" s="18" t="s">
        <v>20</v>
      </c>
      <c r="L76" s="19">
        <v>540</v>
      </c>
      <c r="M76" s="18">
        <v>40</v>
      </c>
      <c r="N76" s="18" t="s">
        <v>20</v>
      </c>
      <c r="O76" s="19">
        <v>4</v>
      </c>
      <c r="P76" s="17">
        <v>7</v>
      </c>
      <c r="Q76" s="17">
        <f t="shared" si="13"/>
        <v>309772727</v>
      </c>
      <c r="R76" s="17">
        <f t="shared" si="14"/>
        <v>56772</v>
      </c>
      <c r="S76" s="17">
        <f t="shared" si="15"/>
        <v>31318026</v>
      </c>
      <c r="T76" s="17">
        <f t="shared" si="16"/>
        <v>15005007</v>
      </c>
      <c r="U76" s="17">
        <f t="shared" si="17"/>
        <v>15</v>
      </c>
      <c r="V76" s="17">
        <f t="shared" si="18"/>
        <v>26</v>
      </c>
      <c r="W76" s="17" t="str">
        <f t="shared" si="20"/>
        <v>LL Platz 2 Rang 1</v>
      </c>
    </row>
    <row r="77" spans="1:23" x14ac:dyDescent="0.35">
      <c r="A77" s="17"/>
      <c r="B77" s="17"/>
      <c r="C77" s="16"/>
      <c r="D77" s="18">
        <v>3</v>
      </c>
      <c r="E77" s="18" t="s">
        <v>426</v>
      </c>
      <c r="F77" s="18">
        <v>22</v>
      </c>
      <c r="G77" s="18">
        <v>15</v>
      </c>
      <c r="H77" s="18">
        <v>1</v>
      </c>
      <c r="I77" s="18">
        <v>6</v>
      </c>
      <c r="J77" s="18">
        <v>695</v>
      </c>
      <c r="K77" s="18" t="s">
        <v>20</v>
      </c>
      <c r="L77" s="19">
        <v>636</v>
      </c>
      <c r="M77" s="18">
        <v>31</v>
      </c>
      <c r="N77" s="18" t="s">
        <v>20</v>
      </c>
      <c r="O77" s="19">
        <v>13</v>
      </c>
      <c r="P77" s="17">
        <v>7</v>
      </c>
      <c r="Q77" s="17">
        <f t="shared" si="13"/>
        <v>309656363</v>
      </c>
      <c r="R77" s="17">
        <f t="shared" si="14"/>
        <v>52681</v>
      </c>
      <c r="S77" s="17">
        <f t="shared" si="15"/>
        <v>31590027</v>
      </c>
      <c r="T77" s="17">
        <f t="shared" si="16"/>
        <v>17015006</v>
      </c>
      <c r="U77" s="17">
        <f t="shared" si="17"/>
        <v>17</v>
      </c>
      <c r="V77" s="17">
        <f t="shared" si="18"/>
        <v>27</v>
      </c>
      <c r="W77" s="17" t="str">
        <f t="shared" si="20"/>
        <v>LL Platz 3 Rang 1</v>
      </c>
    </row>
    <row r="78" spans="1:23" x14ac:dyDescent="0.35">
      <c r="A78" s="17"/>
      <c r="B78" s="17"/>
      <c r="C78" s="16"/>
      <c r="D78" s="18">
        <v>4</v>
      </c>
      <c r="E78" s="18" t="s">
        <v>427</v>
      </c>
      <c r="F78" s="18">
        <v>22</v>
      </c>
      <c r="G78" s="18">
        <v>14</v>
      </c>
      <c r="H78" s="18">
        <v>0</v>
      </c>
      <c r="I78" s="18">
        <v>8</v>
      </c>
      <c r="J78" s="18">
        <v>707</v>
      </c>
      <c r="K78" s="18" t="s">
        <v>20</v>
      </c>
      <c r="L78" s="19">
        <v>608</v>
      </c>
      <c r="M78" s="18">
        <v>28</v>
      </c>
      <c r="N78" s="18" t="s">
        <v>20</v>
      </c>
      <c r="O78" s="19">
        <v>16</v>
      </c>
      <c r="P78" s="17">
        <v>7</v>
      </c>
      <c r="Q78" s="17">
        <f t="shared" si="13"/>
        <v>309550909</v>
      </c>
      <c r="R78" s="17">
        <f t="shared" si="14"/>
        <v>54500</v>
      </c>
      <c r="S78" s="17">
        <f t="shared" si="15"/>
        <v>32136028</v>
      </c>
      <c r="T78" s="17">
        <f t="shared" si="16"/>
        <v>19009004</v>
      </c>
      <c r="U78" s="17">
        <f t="shared" si="17"/>
        <v>19</v>
      </c>
      <c r="V78" s="17">
        <f t="shared" si="18"/>
        <v>28</v>
      </c>
      <c r="W78" s="17" t="str">
        <f t="shared" si="20"/>
        <v>LL Platz 4 Rang 1</v>
      </c>
    </row>
    <row r="79" spans="1:23" x14ac:dyDescent="0.35">
      <c r="A79" s="17"/>
      <c r="B79" s="17"/>
      <c r="C79" s="16"/>
      <c r="D79" s="18">
        <v>5</v>
      </c>
      <c r="E79" s="18" t="s">
        <v>378</v>
      </c>
      <c r="F79" s="18">
        <v>22</v>
      </c>
      <c r="G79" s="18">
        <v>12</v>
      </c>
      <c r="H79" s="18">
        <v>2</v>
      </c>
      <c r="I79" s="18">
        <v>8</v>
      </c>
      <c r="J79" s="18">
        <v>613</v>
      </c>
      <c r="K79" s="18" t="s">
        <v>20</v>
      </c>
      <c r="L79" s="19">
        <v>568</v>
      </c>
      <c r="M79" s="18">
        <v>26</v>
      </c>
      <c r="N79" s="18" t="s">
        <v>20</v>
      </c>
      <c r="O79" s="19">
        <v>18</v>
      </c>
      <c r="P79" s="17">
        <v>7</v>
      </c>
      <c r="Q79" s="17">
        <f t="shared" si="13"/>
        <v>309447272</v>
      </c>
      <c r="R79" s="17">
        <f t="shared" si="14"/>
        <v>52045</v>
      </c>
      <c r="S79" s="17">
        <f t="shared" si="15"/>
        <v>27863029</v>
      </c>
      <c r="T79" s="17">
        <f t="shared" si="16"/>
        <v>21016016</v>
      </c>
      <c r="U79" s="17">
        <f t="shared" si="17"/>
        <v>21</v>
      </c>
      <c r="V79" s="17">
        <f t="shared" si="18"/>
        <v>29</v>
      </c>
      <c r="W79" s="17" t="str">
        <f t="shared" si="20"/>
        <v>LL Platz 5 Rang 1</v>
      </c>
    </row>
    <row r="80" spans="1:23" x14ac:dyDescent="0.35">
      <c r="A80" s="17"/>
      <c r="B80" s="17"/>
      <c r="C80" s="16"/>
      <c r="D80" s="18">
        <v>6</v>
      </c>
      <c r="E80" s="18" t="s">
        <v>381</v>
      </c>
      <c r="F80" s="18">
        <v>22</v>
      </c>
      <c r="G80" s="18">
        <v>10</v>
      </c>
      <c r="H80" s="18">
        <v>0</v>
      </c>
      <c r="I80" s="18">
        <v>12</v>
      </c>
      <c r="J80" s="18">
        <v>536</v>
      </c>
      <c r="K80" s="18" t="s">
        <v>20</v>
      </c>
      <c r="L80" s="19">
        <v>583</v>
      </c>
      <c r="M80" s="18">
        <v>20</v>
      </c>
      <c r="N80" s="18" t="s">
        <v>20</v>
      </c>
      <c r="O80" s="19">
        <v>24</v>
      </c>
      <c r="P80" s="17">
        <v>7</v>
      </c>
      <c r="Q80" s="17">
        <f t="shared" si="13"/>
        <v>309336363</v>
      </c>
      <c r="R80" s="17">
        <f t="shared" si="14"/>
        <v>47863</v>
      </c>
      <c r="S80" s="17">
        <f t="shared" si="15"/>
        <v>24363030</v>
      </c>
      <c r="T80" s="17">
        <f t="shared" si="16"/>
        <v>23028032</v>
      </c>
      <c r="U80" s="17">
        <f t="shared" si="17"/>
        <v>23</v>
      </c>
      <c r="V80" s="17">
        <f t="shared" si="18"/>
        <v>30</v>
      </c>
      <c r="W80" s="17" t="str">
        <f t="shared" si="20"/>
        <v>LL Platz 6 Rang 1</v>
      </c>
    </row>
    <row r="81" spans="1:23" x14ac:dyDescent="0.35">
      <c r="A81" s="17"/>
      <c r="B81" s="17"/>
      <c r="C81" s="16"/>
      <c r="D81" s="18">
        <v>7</v>
      </c>
      <c r="E81" s="18" t="s">
        <v>376</v>
      </c>
      <c r="F81" s="18">
        <v>22</v>
      </c>
      <c r="G81" s="18">
        <v>9</v>
      </c>
      <c r="H81" s="18">
        <v>1</v>
      </c>
      <c r="I81" s="18">
        <v>12</v>
      </c>
      <c r="J81" s="18">
        <v>695</v>
      </c>
      <c r="K81" s="18" t="s">
        <v>20</v>
      </c>
      <c r="L81" s="19">
        <v>695</v>
      </c>
      <c r="M81" s="18">
        <v>19</v>
      </c>
      <c r="N81" s="18" t="s">
        <v>20</v>
      </c>
      <c r="O81" s="19">
        <v>25</v>
      </c>
      <c r="P81" s="17">
        <v>7</v>
      </c>
      <c r="Q81" s="17">
        <f t="shared" si="13"/>
        <v>309234545</v>
      </c>
      <c r="R81" s="17">
        <f t="shared" si="14"/>
        <v>50000</v>
      </c>
      <c r="S81" s="17">
        <f t="shared" si="15"/>
        <v>31590031</v>
      </c>
      <c r="T81" s="17">
        <f t="shared" si="16"/>
        <v>26022005</v>
      </c>
      <c r="U81" s="17">
        <f t="shared" si="17"/>
        <v>26</v>
      </c>
      <c r="V81" s="17">
        <f t="shared" si="18"/>
        <v>31</v>
      </c>
      <c r="W81" s="17" t="str">
        <f t="shared" si="20"/>
        <v>LL Platz 7 Rang 2</v>
      </c>
    </row>
    <row r="82" spans="1:23" x14ac:dyDescent="0.35">
      <c r="A82" s="17"/>
      <c r="B82" s="17"/>
      <c r="C82" s="16"/>
      <c r="D82" s="18">
        <v>8</v>
      </c>
      <c r="E82" s="18" t="s">
        <v>398</v>
      </c>
      <c r="F82" s="18">
        <v>22</v>
      </c>
      <c r="G82" s="18">
        <v>9</v>
      </c>
      <c r="H82" s="18">
        <v>1</v>
      </c>
      <c r="I82" s="18">
        <v>12</v>
      </c>
      <c r="J82" s="18">
        <v>588</v>
      </c>
      <c r="K82" s="18" t="s">
        <v>20</v>
      </c>
      <c r="L82" s="19">
        <v>607</v>
      </c>
      <c r="M82" s="18">
        <v>19</v>
      </c>
      <c r="N82" s="18" t="s">
        <v>20</v>
      </c>
      <c r="O82" s="19">
        <v>25</v>
      </c>
      <c r="P82" s="17">
        <v>7</v>
      </c>
      <c r="Q82" s="17">
        <f t="shared" si="13"/>
        <v>309134545</v>
      </c>
      <c r="R82" s="17">
        <f t="shared" si="14"/>
        <v>49136</v>
      </c>
      <c r="S82" s="17">
        <f t="shared" si="15"/>
        <v>26727032</v>
      </c>
      <c r="T82" s="17">
        <f t="shared" si="16"/>
        <v>28024022</v>
      </c>
      <c r="U82" s="17">
        <f t="shared" si="17"/>
        <v>28</v>
      </c>
      <c r="V82" s="17">
        <f t="shared" si="18"/>
        <v>32</v>
      </c>
      <c r="W82" s="17" t="str">
        <f t="shared" si="20"/>
        <v>LL Platz 8 Rang 2</v>
      </c>
    </row>
    <row r="83" spans="1:23" x14ac:dyDescent="0.35">
      <c r="A83" s="17"/>
      <c r="B83" s="17"/>
      <c r="C83" s="16"/>
      <c r="D83" s="18">
        <v>9</v>
      </c>
      <c r="E83" s="18" t="s">
        <v>428</v>
      </c>
      <c r="F83" s="18">
        <v>22</v>
      </c>
      <c r="G83" s="18">
        <v>8</v>
      </c>
      <c r="H83" s="18">
        <v>0</v>
      </c>
      <c r="I83" s="18">
        <v>14</v>
      </c>
      <c r="J83" s="18">
        <v>563</v>
      </c>
      <c r="K83" s="18" t="s">
        <v>20</v>
      </c>
      <c r="L83" s="19">
        <v>552</v>
      </c>
      <c r="M83" s="18">
        <v>16</v>
      </c>
      <c r="N83" s="18" t="s">
        <v>20</v>
      </c>
      <c r="O83" s="19">
        <v>28</v>
      </c>
      <c r="P83" s="17">
        <v>7</v>
      </c>
      <c r="Q83" s="17">
        <f t="shared" si="13"/>
        <v>309029090</v>
      </c>
      <c r="R83" s="17">
        <f t="shared" ref="R83:R90" si="21">INT(1000*((J83-L83)/F83+50))</f>
        <v>50500</v>
      </c>
      <c r="S83" s="17">
        <f t="shared" ref="S83:S90" si="22">V83+1000*(INT(1000*J83/F83))</f>
        <v>25590033</v>
      </c>
      <c r="T83" s="17">
        <f t="shared" si="16"/>
        <v>30020025</v>
      </c>
      <c r="U83" s="17">
        <f t="shared" si="17"/>
        <v>30</v>
      </c>
      <c r="V83" s="17">
        <f t="shared" si="18"/>
        <v>33</v>
      </c>
      <c r="W83" s="17" t="str">
        <f t="shared" si="20"/>
        <v>LL Platz 9 Rang 2</v>
      </c>
    </row>
    <row r="84" spans="1:23" x14ac:dyDescent="0.35">
      <c r="A84" s="17"/>
      <c r="B84" s="17"/>
      <c r="C84" s="16"/>
      <c r="D84" s="18">
        <v>10</v>
      </c>
      <c r="E84" s="18" t="s">
        <v>429</v>
      </c>
      <c r="F84" s="18">
        <v>22</v>
      </c>
      <c r="G84" s="18">
        <v>6</v>
      </c>
      <c r="H84" s="18">
        <v>0</v>
      </c>
      <c r="I84" s="18">
        <v>16</v>
      </c>
      <c r="J84" s="18">
        <v>545</v>
      </c>
      <c r="K84" s="18" t="s">
        <v>20</v>
      </c>
      <c r="L84" s="19">
        <v>666</v>
      </c>
      <c r="M84" s="18">
        <v>12</v>
      </c>
      <c r="N84" s="18" t="s">
        <v>20</v>
      </c>
      <c r="O84" s="19">
        <v>32</v>
      </c>
      <c r="P84" s="17">
        <v>7</v>
      </c>
      <c r="Q84" s="17">
        <f t="shared" si="13"/>
        <v>308921818</v>
      </c>
      <c r="R84" s="17">
        <f t="shared" si="21"/>
        <v>44500</v>
      </c>
      <c r="S84" s="17">
        <f t="shared" si="22"/>
        <v>24772034</v>
      </c>
      <c r="T84" s="17">
        <f t="shared" si="16"/>
        <v>32034031</v>
      </c>
      <c r="U84" s="17">
        <f t="shared" si="17"/>
        <v>32</v>
      </c>
      <c r="V84" s="17">
        <f t="shared" si="18"/>
        <v>34</v>
      </c>
      <c r="W84" s="17" t="str">
        <f t="shared" si="20"/>
        <v>LL Platz 10 Rang 2</v>
      </c>
    </row>
    <row r="85" spans="1:23" x14ac:dyDescent="0.35">
      <c r="A85" s="17"/>
      <c r="B85" s="17"/>
      <c r="C85" s="16"/>
      <c r="D85" s="18">
        <v>11</v>
      </c>
      <c r="E85" s="18" t="s">
        <v>399</v>
      </c>
      <c r="F85" s="18">
        <v>22</v>
      </c>
      <c r="G85" s="18">
        <v>3</v>
      </c>
      <c r="H85" s="18">
        <v>0</v>
      </c>
      <c r="I85" s="18">
        <v>19</v>
      </c>
      <c r="J85" s="18">
        <v>512</v>
      </c>
      <c r="K85" s="18" t="s">
        <v>20</v>
      </c>
      <c r="L85" s="19">
        <v>653</v>
      </c>
      <c r="M85" s="18">
        <v>6</v>
      </c>
      <c r="N85" s="18" t="s">
        <v>20</v>
      </c>
      <c r="O85" s="19">
        <v>38</v>
      </c>
      <c r="P85" s="17">
        <v>7</v>
      </c>
      <c r="Q85" s="17">
        <f t="shared" si="13"/>
        <v>308810909</v>
      </c>
      <c r="R85" s="17">
        <f t="shared" si="21"/>
        <v>43590</v>
      </c>
      <c r="S85" s="17">
        <f t="shared" si="22"/>
        <v>23272035</v>
      </c>
      <c r="T85" s="17">
        <f t="shared" si="16"/>
        <v>34037037</v>
      </c>
      <c r="U85" s="17">
        <f t="shared" si="17"/>
        <v>34</v>
      </c>
      <c r="V85" s="17">
        <f t="shared" si="18"/>
        <v>35</v>
      </c>
      <c r="W85" s="17" t="str">
        <f t="shared" si="20"/>
        <v>LL Platz 11 Rang 2</v>
      </c>
    </row>
    <row r="86" spans="1:23" x14ac:dyDescent="0.35">
      <c r="A86" s="17"/>
      <c r="B86" s="17"/>
      <c r="C86" s="16"/>
      <c r="D86" s="18">
        <v>12</v>
      </c>
      <c r="E86" s="18" t="s">
        <v>387</v>
      </c>
      <c r="F86" s="18">
        <v>22</v>
      </c>
      <c r="G86" s="18">
        <v>3</v>
      </c>
      <c r="H86" s="18">
        <v>0</v>
      </c>
      <c r="I86" s="18">
        <v>19</v>
      </c>
      <c r="J86" s="18">
        <v>468</v>
      </c>
      <c r="K86" s="18" t="s">
        <v>20</v>
      </c>
      <c r="L86" s="19">
        <v>751</v>
      </c>
      <c r="M86" s="18">
        <v>6</v>
      </c>
      <c r="N86" s="18" t="s">
        <v>20</v>
      </c>
      <c r="O86" s="19">
        <v>38</v>
      </c>
      <c r="P86" s="17">
        <v>7</v>
      </c>
      <c r="Q86" s="17">
        <f t="shared" si="13"/>
        <v>308710909</v>
      </c>
      <c r="R86" s="17">
        <f t="shared" si="21"/>
        <v>37136</v>
      </c>
      <c r="S86" s="17">
        <f t="shared" si="22"/>
        <v>21272036</v>
      </c>
      <c r="T86" s="17">
        <f t="shared" si="16"/>
        <v>36040039</v>
      </c>
      <c r="U86" s="17">
        <f t="shared" si="17"/>
        <v>36</v>
      </c>
      <c r="V86" s="17">
        <f t="shared" si="18"/>
        <v>36</v>
      </c>
      <c r="W86" s="17" t="str">
        <f t="shared" si="20"/>
        <v>LL Platz 12 Rang 2</v>
      </c>
    </row>
    <row r="87" spans="1:23" x14ac:dyDescent="0.35">
      <c r="A87" s="17"/>
      <c r="B87" s="17"/>
      <c r="C87" s="16" t="s">
        <v>430</v>
      </c>
      <c r="D87" s="18">
        <v>1</v>
      </c>
      <c r="E87" s="18" t="s">
        <v>394</v>
      </c>
      <c r="F87" s="18">
        <v>18</v>
      </c>
      <c r="G87" s="18">
        <v>15</v>
      </c>
      <c r="H87" s="18">
        <v>0</v>
      </c>
      <c r="I87" s="18">
        <v>3</v>
      </c>
      <c r="J87" s="18">
        <v>453</v>
      </c>
      <c r="K87" s="18" t="s">
        <v>20</v>
      </c>
      <c r="L87" s="19">
        <v>341</v>
      </c>
      <c r="M87" s="18">
        <v>30</v>
      </c>
      <c r="N87" s="18" t="s">
        <v>20</v>
      </c>
      <c r="O87" s="19">
        <v>6</v>
      </c>
      <c r="P87" s="17">
        <v>8</v>
      </c>
      <c r="Q87" s="17">
        <f t="shared" si="13"/>
        <v>209866666</v>
      </c>
      <c r="R87" s="17">
        <f t="shared" si="21"/>
        <v>56222</v>
      </c>
      <c r="S87" s="17">
        <f t="shared" si="22"/>
        <v>25166037</v>
      </c>
      <c r="T87" s="17">
        <f t="shared" si="16"/>
        <v>38008029</v>
      </c>
      <c r="U87" s="17">
        <f t="shared" si="17"/>
        <v>38</v>
      </c>
      <c r="V87" s="17">
        <f t="shared" si="18"/>
        <v>37</v>
      </c>
      <c r="W87" s="17" t="str">
        <f>"BOL Platz "&amp;D87&amp;" Rang "&amp;(U87-34-2*D87)</f>
        <v>BOL Platz 1 Rang 2</v>
      </c>
    </row>
    <row r="88" spans="1:23" x14ac:dyDescent="0.35">
      <c r="A88" s="17"/>
      <c r="B88" s="17"/>
      <c r="C88" s="16"/>
      <c r="D88" s="18">
        <v>3</v>
      </c>
      <c r="E88" s="18" t="s">
        <v>579</v>
      </c>
      <c r="F88" s="18">
        <v>16</v>
      </c>
      <c r="G88" s="18">
        <v>9</v>
      </c>
      <c r="H88" s="18">
        <v>2</v>
      </c>
      <c r="I88" s="18">
        <v>5</v>
      </c>
      <c r="J88" s="18">
        <v>409</v>
      </c>
      <c r="K88" s="18" t="s">
        <v>20</v>
      </c>
      <c r="L88" s="19">
        <v>354</v>
      </c>
      <c r="M88" s="18">
        <v>20</v>
      </c>
      <c r="N88" s="18" t="s">
        <v>20</v>
      </c>
      <c r="O88" s="19">
        <v>12</v>
      </c>
      <c r="P88" s="17">
        <v>8</v>
      </c>
      <c r="Q88" s="17">
        <f t="shared" si="13"/>
        <v>209650000</v>
      </c>
      <c r="R88" s="17">
        <f t="shared" si="21"/>
        <v>53437</v>
      </c>
      <c r="S88" s="17">
        <f t="shared" si="22"/>
        <v>25562038</v>
      </c>
      <c r="T88" s="17">
        <f t="shared" si="16"/>
        <v>40010027</v>
      </c>
      <c r="U88" s="17">
        <f t="shared" si="17"/>
        <v>40</v>
      </c>
      <c r="V88" s="17">
        <f t="shared" si="18"/>
        <v>38</v>
      </c>
      <c r="W88" s="17" t="str">
        <f t="shared" ref="W88:W90" si="23">"BOL Platz "&amp;D88&amp;" Rang "&amp;(U88-34-2*D88)</f>
        <v>BOL Platz 3 Rang 0</v>
      </c>
    </row>
    <row r="89" spans="1:23" x14ac:dyDescent="0.35">
      <c r="A89" s="17"/>
      <c r="B89" s="17"/>
      <c r="C89" s="16"/>
      <c r="D89" s="18">
        <v>2</v>
      </c>
      <c r="E89" s="18" t="s">
        <v>566</v>
      </c>
      <c r="F89" s="18">
        <v>18</v>
      </c>
      <c r="G89" s="18">
        <v>11</v>
      </c>
      <c r="H89" s="18">
        <v>1</v>
      </c>
      <c r="I89" s="18">
        <v>6</v>
      </c>
      <c r="J89" s="18">
        <v>465</v>
      </c>
      <c r="K89" s="18" t="s">
        <v>20</v>
      </c>
      <c r="L89" s="19">
        <v>414</v>
      </c>
      <c r="M89" s="18">
        <v>23</v>
      </c>
      <c r="N89" s="18" t="s">
        <v>20</v>
      </c>
      <c r="O89" s="19">
        <v>13</v>
      </c>
      <c r="P89" s="17">
        <v>8</v>
      </c>
      <c r="Q89" s="17">
        <f t="shared" si="13"/>
        <v>209751111</v>
      </c>
      <c r="R89" s="17">
        <f t="shared" si="21"/>
        <v>52833</v>
      </c>
      <c r="S89" s="17">
        <f t="shared" si="22"/>
        <v>25833039</v>
      </c>
      <c r="T89" s="17">
        <f t="shared" si="16"/>
        <v>39014024</v>
      </c>
      <c r="U89" s="17">
        <f t="shared" si="17"/>
        <v>39</v>
      </c>
      <c r="V89" s="17">
        <f t="shared" si="18"/>
        <v>39</v>
      </c>
      <c r="W89" s="17" t="str">
        <f t="shared" si="23"/>
        <v>BOL Platz 2 Rang 1</v>
      </c>
    </row>
    <row r="90" spans="1:23" x14ac:dyDescent="0.35">
      <c r="A90" s="17"/>
      <c r="B90" s="17"/>
      <c r="C90" s="16"/>
      <c r="D90" s="18">
        <v>1</v>
      </c>
      <c r="E90" s="18" t="s">
        <v>565</v>
      </c>
      <c r="F90" s="18">
        <v>20</v>
      </c>
      <c r="G90" s="18">
        <v>17</v>
      </c>
      <c r="H90" s="18">
        <v>1</v>
      </c>
      <c r="I90" s="18">
        <v>2</v>
      </c>
      <c r="J90" s="18">
        <v>554</v>
      </c>
      <c r="K90" s="18" t="s">
        <v>20</v>
      </c>
      <c r="L90" s="19">
        <v>413</v>
      </c>
      <c r="M90" s="18">
        <v>35</v>
      </c>
      <c r="N90" s="18" t="s">
        <v>20</v>
      </c>
      <c r="O90" s="19">
        <v>5</v>
      </c>
      <c r="P90" s="17">
        <v>8</v>
      </c>
      <c r="Q90" s="17">
        <f t="shared" si="13"/>
        <v>209870000</v>
      </c>
      <c r="R90" s="17">
        <f t="shared" si="21"/>
        <v>57050</v>
      </c>
      <c r="S90" s="17">
        <f t="shared" si="22"/>
        <v>27700040</v>
      </c>
      <c r="T90" s="17">
        <f t="shared" si="16"/>
        <v>37004017</v>
      </c>
      <c r="U90" s="17">
        <f t="shared" si="17"/>
        <v>37</v>
      </c>
      <c r="V90" s="17">
        <f t="shared" si="18"/>
        <v>40</v>
      </c>
      <c r="W90" s="17" t="str">
        <f t="shared" si="23"/>
        <v>BOL Platz 1 Rang 1</v>
      </c>
    </row>
    <row r="91" spans="1:23" x14ac:dyDescent="0.35">
      <c r="A91" s="17"/>
      <c r="B91" s="17"/>
      <c r="C91" s="16"/>
      <c r="D91" s="17"/>
      <c r="E91" s="17"/>
      <c r="F91" s="17"/>
      <c r="G91" s="17"/>
      <c r="H91" s="17"/>
      <c r="I91" s="17"/>
      <c r="J91" s="17"/>
      <c r="K91" s="17"/>
      <c r="L91" s="20"/>
      <c r="M91" s="17"/>
      <c r="N91" s="17"/>
      <c r="O91" s="20"/>
      <c r="P91" s="17"/>
      <c r="Q91" s="17"/>
      <c r="R91" s="17"/>
      <c r="S91" s="17"/>
      <c r="T91" s="17"/>
      <c r="U91" s="17"/>
      <c r="V91" s="17"/>
      <c r="W91" s="17"/>
    </row>
    <row r="92" spans="1:23" x14ac:dyDescent="0.35">
      <c r="A92" s="17"/>
      <c r="B92" s="17"/>
      <c r="C92" s="16"/>
      <c r="D92" s="17"/>
      <c r="E92" s="17"/>
      <c r="F92" s="17"/>
      <c r="G92" s="17"/>
      <c r="H92" s="17"/>
      <c r="I92" s="17"/>
      <c r="J92" s="17"/>
      <c r="K92" s="17"/>
      <c r="L92" s="20"/>
      <c r="M92" s="17"/>
      <c r="N92" s="17"/>
      <c r="O92" s="20"/>
      <c r="P92" s="17"/>
      <c r="Q92" s="17"/>
      <c r="R92" s="17"/>
      <c r="S92" s="17"/>
      <c r="T92" s="17"/>
      <c r="U92" s="17"/>
      <c r="V92" s="17"/>
      <c r="W92" s="17"/>
    </row>
    <row r="93" spans="1:23" x14ac:dyDescent="0.35">
      <c r="A93" s="17"/>
      <c r="B93" s="17"/>
      <c r="C93" s="16"/>
      <c r="D93" s="17"/>
      <c r="E93" s="17"/>
      <c r="F93" s="17"/>
      <c r="G93" s="17"/>
      <c r="H93" s="17"/>
      <c r="I93" s="17"/>
      <c r="J93" s="17"/>
      <c r="K93" s="17"/>
      <c r="L93" s="20"/>
      <c r="M93" s="17"/>
      <c r="N93" s="17"/>
      <c r="O93" s="20"/>
      <c r="P93" s="17"/>
      <c r="Q93" s="17"/>
      <c r="R93" s="17"/>
      <c r="S93" s="17"/>
      <c r="T93" s="17"/>
      <c r="U93" s="17"/>
      <c r="V93" s="17"/>
      <c r="W93" s="17"/>
    </row>
    <row r="94" spans="1:23" x14ac:dyDescent="0.35">
      <c r="A94" s="17"/>
      <c r="B94" s="17"/>
      <c r="C94" s="16"/>
      <c r="D94" s="17"/>
      <c r="E94" s="17"/>
      <c r="F94" s="17"/>
      <c r="G94" s="17"/>
      <c r="H94" s="17"/>
      <c r="I94" s="17"/>
      <c r="J94" s="17"/>
      <c r="K94" s="17"/>
      <c r="L94" s="20"/>
      <c r="M94" s="17"/>
      <c r="N94" s="17"/>
      <c r="O94" s="20"/>
      <c r="P94" s="17"/>
      <c r="Q94" s="17"/>
      <c r="R94" s="17"/>
      <c r="S94" s="17"/>
      <c r="T94" s="17"/>
      <c r="U94" s="17"/>
      <c r="V94" s="17"/>
      <c r="W94" s="17"/>
    </row>
    <row r="95" spans="1:23" x14ac:dyDescent="0.35">
      <c r="A95" s="17"/>
      <c r="B95" s="17"/>
      <c r="C95" s="16"/>
      <c r="D95" s="17"/>
      <c r="E95" s="17"/>
      <c r="F95" s="17"/>
      <c r="G95" s="17"/>
      <c r="H95" s="17"/>
      <c r="I95" s="17"/>
      <c r="J95" s="17"/>
      <c r="K95" s="17"/>
      <c r="L95" s="20"/>
      <c r="M95" s="17"/>
      <c r="N95" s="17"/>
      <c r="O95" s="20"/>
      <c r="P95" s="17"/>
      <c r="Q95" s="17"/>
      <c r="R95" s="17"/>
      <c r="S95" s="17"/>
      <c r="T95" s="17"/>
      <c r="U95" s="17"/>
      <c r="V95" s="17"/>
      <c r="W95" s="17"/>
    </row>
    <row r="96" spans="1:23" x14ac:dyDescent="0.35">
      <c r="A96" s="17"/>
      <c r="B96" s="17"/>
      <c r="C96" s="16"/>
      <c r="D96" s="17"/>
      <c r="E96" s="17"/>
      <c r="F96" s="17"/>
      <c r="G96" s="17"/>
      <c r="H96" s="17"/>
      <c r="I96" s="17"/>
      <c r="J96" s="17"/>
      <c r="K96" s="17"/>
      <c r="L96" s="20"/>
      <c r="M96" s="17"/>
      <c r="N96" s="17"/>
      <c r="O96" s="20"/>
      <c r="P96" s="17"/>
      <c r="Q96" s="17"/>
      <c r="R96" s="17"/>
      <c r="S96" s="17"/>
      <c r="T96" s="17"/>
      <c r="U96" s="17"/>
      <c r="V96" s="17"/>
      <c r="W96" s="17"/>
    </row>
    <row r="97" spans="1:23" x14ac:dyDescent="0.35">
      <c r="A97" s="17"/>
      <c r="B97" s="17"/>
      <c r="C97" s="16"/>
      <c r="D97" s="17"/>
      <c r="E97" s="17"/>
      <c r="F97" s="17"/>
      <c r="G97" s="17"/>
      <c r="H97" s="17"/>
      <c r="I97" s="17"/>
      <c r="J97" s="17"/>
      <c r="K97" s="17"/>
      <c r="L97" s="20"/>
      <c r="M97" s="17"/>
      <c r="N97" s="17"/>
      <c r="O97" s="20"/>
      <c r="P97" s="17"/>
      <c r="Q97" s="17"/>
      <c r="R97" s="17"/>
      <c r="S97" s="17"/>
      <c r="T97" s="17"/>
      <c r="U97" s="17"/>
      <c r="V97" s="17"/>
      <c r="W97" s="17"/>
    </row>
    <row r="98" spans="1:23" x14ac:dyDescent="0.35">
      <c r="A98" s="17"/>
      <c r="B98" s="17"/>
      <c r="C98" s="16"/>
      <c r="D98" s="17"/>
      <c r="E98" s="17"/>
      <c r="F98" s="17"/>
      <c r="G98" s="17"/>
      <c r="H98" s="17"/>
      <c r="I98" s="17"/>
      <c r="J98" s="17"/>
      <c r="K98" s="17"/>
      <c r="L98" s="20"/>
      <c r="M98" s="17"/>
      <c r="N98" s="17"/>
      <c r="O98" s="20"/>
      <c r="P98" s="17"/>
      <c r="Q98" s="17"/>
      <c r="R98" s="17"/>
      <c r="S98" s="17"/>
      <c r="T98" s="17"/>
      <c r="U98" s="17"/>
      <c r="V98" s="17"/>
      <c r="W98" s="17"/>
    </row>
    <row r="99" spans="1:23" x14ac:dyDescent="0.35">
      <c r="A99" s="17"/>
      <c r="B99" s="17"/>
      <c r="C99" s="16"/>
      <c r="D99" s="17"/>
      <c r="E99" s="17"/>
      <c r="F99" s="17"/>
      <c r="G99" s="17"/>
      <c r="H99" s="17"/>
      <c r="I99" s="17"/>
      <c r="J99" s="17"/>
      <c r="K99" s="17"/>
      <c r="L99" s="20"/>
      <c r="M99" s="17"/>
      <c r="N99" s="17"/>
      <c r="O99" s="20"/>
      <c r="P99" s="17"/>
      <c r="Q99" s="17"/>
      <c r="R99" s="17"/>
      <c r="S99" s="17"/>
      <c r="T99" s="17"/>
      <c r="U99" s="17"/>
      <c r="V99" s="17"/>
      <c r="W99" s="17"/>
    </row>
    <row r="100" spans="1:23" x14ac:dyDescent="0.35">
      <c r="A100" s="17"/>
      <c r="B100" s="17"/>
      <c r="C100" s="16"/>
      <c r="D100" s="17"/>
      <c r="E100" s="17"/>
      <c r="F100" s="17"/>
      <c r="G100" s="17"/>
      <c r="H100" s="17"/>
      <c r="I100" s="17"/>
      <c r="J100" s="17"/>
      <c r="K100" s="17"/>
      <c r="L100" s="20"/>
      <c r="M100" s="17"/>
      <c r="N100" s="17"/>
      <c r="O100" s="20"/>
      <c r="P100" s="17"/>
      <c r="Q100" s="17"/>
      <c r="R100" s="17"/>
      <c r="S100" s="17"/>
      <c r="T100" s="17"/>
      <c r="U100" s="17"/>
      <c r="V100" s="17"/>
      <c r="W100" s="17"/>
    </row>
    <row r="101" spans="1:23" x14ac:dyDescent="0.35">
      <c r="A101" s="17"/>
      <c r="B101" s="17"/>
      <c r="C101" s="16"/>
      <c r="D101" s="17"/>
      <c r="E101" s="17"/>
      <c r="F101" s="17"/>
      <c r="G101" s="17"/>
      <c r="H101" s="17"/>
      <c r="I101" s="17"/>
      <c r="J101" s="17"/>
      <c r="K101" s="17"/>
      <c r="L101" s="20"/>
      <c r="M101" s="17"/>
      <c r="N101" s="17"/>
      <c r="O101" s="20"/>
      <c r="P101" s="17"/>
      <c r="Q101" s="17"/>
      <c r="R101" s="17"/>
      <c r="S101" s="17"/>
      <c r="T101" s="17"/>
      <c r="U101" s="17"/>
      <c r="V101" s="17"/>
      <c r="W101" s="17"/>
    </row>
    <row r="102" spans="1:23" x14ac:dyDescent="0.35">
      <c r="A102" s="17"/>
      <c r="B102" s="17"/>
      <c r="C102" s="16"/>
      <c r="D102" s="17"/>
      <c r="E102" s="17"/>
      <c r="F102" s="17"/>
      <c r="G102" s="17"/>
      <c r="H102" s="17"/>
      <c r="I102" s="17"/>
      <c r="J102" s="17"/>
      <c r="K102" s="17"/>
      <c r="L102" s="20"/>
      <c r="M102" s="17"/>
      <c r="N102" s="17"/>
      <c r="O102" s="20"/>
      <c r="P102" s="17"/>
      <c r="Q102" s="17"/>
      <c r="R102" s="17"/>
      <c r="S102" s="17"/>
      <c r="T102" s="17"/>
      <c r="U102" s="17"/>
      <c r="V102" s="17"/>
      <c r="W102" s="17"/>
    </row>
    <row r="103" spans="1:23" x14ac:dyDescent="0.35">
      <c r="A103" s="17"/>
      <c r="B103" s="17"/>
      <c r="C103" s="16"/>
      <c r="D103" s="17"/>
      <c r="E103" s="17"/>
      <c r="F103" s="17"/>
      <c r="G103" s="17"/>
      <c r="H103" s="17"/>
      <c r="I103" s="17"/>
      <c r="J103" s="17"/>
      <c r="K103" s="17"/>
      <c r="L103" s="20"/>
      <c r="M103" s="17"/>
      <c r="N103" s="17"/>
      <c r="O103" s="20"/>
      <c r="P103" s="17"/>
      <c r="Q103" s="17"/>
      <c r="R103" s="17"/>
      <c r="S103" s="17"/>
      <c r="T103" s="17"/>
      <c r="U103" s="17"/>
      <c r="V103" s="17"/>
      <c r="W103" s="17"/>
    </row>
    <row r="104" spans="1:23" x14ac:dyDescent="0.35">
      <c r="A104" s="17"/>
      <c r="B104" s="17"/>
      <c r="C104" s="16"/>
      <c r="D104" s="17"/>
      <c r="E104" s="17"/>
      <c r="F104" s="17"/>
      <c r="G104" s="17"/>
      <c r="H104" s="17"/>
      <c r="I104" s="17"/>
      <c r="J104" s="17"/>
      <c r="K104" s="17"/>
      <c r="L104" s="20"/>
      <c r="M104" s="17"/>
      <c r="N104" s="17"/>
      <c r="O104" s="20"/>
      <c r="P104" s="17"/>
      <c r="Q104" s="17"/>
      <c r="R104" s="17"/>
      <c r="S104" s="17"/>
      <c r="T104" s="17"/>
      <c r="U104" s="17"/>
      <c r="V104" s="17"/>
      <c r="W104" s="17"/>
    </row>
    <row r="105" spans="1:23" x14ac:dyDescent="0.35">
      <c r="A105" s="17"/>
      <c r="B105" s="17"/>
      <c r="C105" s="16"/>
      <c r="D105" s="17"/>
      <c r="E105" s="17"/>
      <c r="F105" s="17"/>
      <c r="G105" s="17"/>
      <c r="H105" s="17"/>
      <c r="I105" s="17"/>
      <c r="J105" s="17"/>
      <c r="K105" s="17"/>
      <c r="L105" s="20"/>
      <c r="M105" s="17"/>
      <c r="N105" s="17"/>
      <c r="O105" s="20"/>
      <c r="P105" s="17"/>
      <c r="Q105" s="17"/>
      <c r="R105" s="17"/>
      <c r="S105" s="17"/>
      <c r="T105" s="17"/>
      <c r="U105" s="17"/>
      <c r="V105" s="17"/>
      <c r="W105" s="17"/>
    </row>
    <row r="106" spans="1:23" x14ac:dyDescent="0.35">
      <c r="A106" s="17"/>
      <c r="B106" s="17"/>
      <c r="C106" s="16"/>
      <c r="D106" s="17"/>
      <c r="E106" s="17"/>
      <c r="F106" s="17"/>
      <c r="G106" s="17"/>
      <c r="H106" s="17"/>
      <c r="I106" s="17"/>
      <c r="J106" s="17"/>
      <c r="K106" s="17"/>
      <c r="L106" s="20"/>
      <c r="M106" s="17"/>
      <c r="N106" s="17"/>
      <c r="O106" s="20"/>
      <c r="P106" s="17"/>
      <c r="Q106" s="17"/>
      <c r="R106" s="17"/>
      <c r="S106" s="17"/>
      <c r="T106" s="17"/>
      <c r="U106" s="17"/>
      <c r="V106" s="17"/>
      <c r="W106" s="17"/>
    </row>
    <row r="107" spans="1:23" x14ac:dyDescent="0.35">
      <c r="A107" s="17"/>
      <c r="B107" s="17"/>
      <c r="C107" s="16"/>
      <c r="D107" s="17"/>
      <c r="E107" s="17"/>
      <c r="F107" s="17"/>
      <c r="G107" s="17"/>
      <c r="H107" s="17"/>
      <c r="I107" s="17"/>
      <c r="J107" s="17"/>
      <c r="K107" s="17"/>
      <c r="L107" s="20"/>
      <c r="M107" s="17"/>
      <c r="N107" s="17"/>
      <c r="O107" s="20"/>
      <c r="P107" s="17"/>
      <c r="Q107" s="17"/>
      <c r="R107" s="17"/>
      <c r="S107" s="17"/>
      <c r="T107" s="17"/>
      <c r="U107" s="17"/>
      <c r="V107" s="17"/>
      <c r="W107" s="17"/>
    </row>
    <row r="108" spans="1:23" x14ac:dyDescent="0.35">
      <c r="A108" s="17"/>
      <c r="B108" s="17"/>
      <c r="C108" s="16"/>
      <c r="D108" s="17"/>
      <c r="E108" s="17"/>
      <c r="F108" s="17"/>
      <c r="G108" s="17"/>
      <c r="H108" s="17"/>
      <c r="I108" s="17"/>
      <c r="J108" s="17"/>
      <c r="K108" s="17"/>
      <c r="L108" s="20"/>
      <c r="M108" s="17"/>
      <c r="N108" s="17"/>
      <c r="O108" s="20"/>
      <c r="P108" s="17"/>
      <c r="Q108" s="17"/>
      <c r="R108" s="17"/>
      <c r="S108" s="17"/>
      <c r="T108" s="17"/>
      <c r="U108" s="17"/>
      <c r="V108" s="17"/>
      <c r="W108" s="17"/>
    </row>
    <row r="109" spans="1:23" x14ac:dyDescent="0.35">
      <c r="A109" s="17"/>
      <c r="B109" s="17"/>
      <c r="C109" s="16"/>
      <c r="D109" s="17"/>
      <c r="E109" s="17"/>
      <c r="F109" s="17"/>
      <c r="G109" s="17"/>
      <c r="H109" s="17"/>
      <c r="I109" s="17"/>
      <c r="J109" s="17"/>
      <c r="K109" s="17"/>
      <c r="L109" s="20"/>
      <c r="M109" s="17"/>
      <c r="N109" s="17"/>
      <c r="O109" s="20"/>
      <c r="P109" s="17"/>
      <c r="Q109" s="17"/>
      <c r="R109" s="17"/>
      <c r="S109" s="17"/>
      <c r="T109" s="17"/>
      <c r="U109" s="17"/>
      <c r="V109" s="17"/>
      <c r="W109" s="17"/>
    </row>
    <row r="110" spans="1:23" x14ac:dyDescent="0.35">
      <c r="A110" s="17"/>
      <c r="B110" s="17"/>
      <c r="C110" s="16"/>
      <c r="D110" s="17"/>
      <c r="E110" s="17"/>
      <c r="F110" s="17"/>
      <c r="G110" s="17"/>
      <c r="H110" s="17"/>
      <c r="I110" s="17"/>
      <c r="J110" s="17"/>
      <c r="K110" s="17"/>
      <c r="L110" s="20"/>
      <c r="M110" s="17"/>
      <c r="N110" s="17"/>
      <c r="O110" s="20"/>
      <c r="P110" s="17"/>
      <c r="Q110" s="17"/>
      <c r="R110" s="17"/>
      <c r="S110" s="17"/>
      <c r="T110" s="17"/>
      <c r="U110" s="17"/>
      <c r="V110" s="17"/>
      <c r="W110" s="17"/>
    </row>
    <row r="111" spans="1:23" x14ac:dyDescent="0.35">
      <c r="A111" s="17"/>
      <c r="B111" s="17"/>
      <c r="C111" s="16"/>
      <c r="D111" s="17"/>
      <c r="E111" s="17"/>
      <c r="F111" s="17"/>
      <c r="G111" s="17"/>
      <c r="H111" s="17"/>
      <c r="I111" s="17"/>
      <c r="J111" s="17"/>
      <c r="K111" s="17"/>
      <c r="L111" s="20"/>
      <c r="M111" s="17"/>
      <c r="N111" s="17"/>
      <c r="O111" s="20"/>
      <c r="P111" s="17"/>
      <c r="Q111" s="17"/>
      <c r="R111" s="17"/>
      <c r="S111" s="17"/>
      <c r="T111" s="17"/>
      <c r="U111" s="17"/>
      <c r="V111" s="17"/>
      <c r="W111" s="17"/>
    </row>
    <row r="112" spans="1:23" x14ac:dyDescent="0.35">
      <c r="A112" s="17"/>
      <c r="B112" s="17"/>
      <c r="C112" s="16"/>
      <c r="D112" s="17"/>
      <c r="E112" s="17"/>
      <c r="F112" s="17"/>
      <c r="G112" s="17"/>
      <c r="H112" s="17"/>
      <c r="I112" s="17"/>
      <c r="J112" s="17"/>
      <c r="K112" s="17"/>
      <c r="L112" s="20"/>
      <c r="M112" s="17"/>
      <c r="N112" s="17"/>
      <c r="O112" s="20"/>
      <c r="P112" s="17"/>
      <c r="Q112" s="17"/>
      <c r="R112" s="17"/>
      <c r="S112" s="17"/>
      <c r="T112" s="17"/>
      <c r="U112" s="17"/>
      <c r="V112" s="17"/>
      <c r="W112" s="17"/>
    </row>
    <row r="113" spans="1:23" x14ac:dyDescent="0.35">
      <c r="A113" s="17"/>
      <c r="B113" s="17"/>
      <c r="C113" s="16"/>
      <c r="D113" s="17"/>
      <c r="E113" s="17"/>
      <c r="F113" s="17"/>
      <c r="G113" s="17"/>
      <c r="H113" s="17"/>
      <c r="I113" s="17"/>
      <c r="J113" s="17"/>
      <c r="K113" s="17"/>
      <c r="L113" s="20"/>
      <c r="M113" s="17"/>
      <c r="N113" s="17"/>
      <c r="O113" s="20"/>
      <c r="P113" s="17"/>
      <c r="Q113" s="17"/>
      <c r="R113" s="17"/>
      <c r="S113" s="17"/>
      <c r="T113" s="17"/>
      <c r="U113" s="17"/>
      <c r="V113" s="17"/>
      <c r="W113" s="17"/>
    </row>
    <row r="114" spans="1:23" x14ac:dyDescent="0.35">
      <c r="A114" s="17"/>
      <c r="B114" s="17"/>
      <c r="C114" s="16"/>
      <c r="D114" s="17"/>
      <c r="E114" s="17"/>
      <c r="F114" s="17"/>
      <c r="G114" s="17"/>
      <c r="H114" s="17"/>
      <c r="I114" s="17"/>
      <c r="J114" s="17"/>
      <c r="K114" s="17"/>
      <c r="L114" s="20"/>
      <c r="M114" s="17"/>
      <c r="N114" s="17"/>
      <c r="O114" s="20"/>
      <c r="P114" s="17"/>
      <c r="Q114" s="17"/>
      <c r="R114" s="17"/>
      <c r="S114" s="17"/>
      <c r="T114" s="17"/>
      <c r="U114" s="17"/>
      <c r="V114" s="17"/>
      <c r="W114" s="17"/>
    </row>
    <row r="115" spans="1:23" x14ac:dyDescent="0.35">
      <c r="A115" s="17"/>
      <c r="B115" s="17"/>
      <c r="C115" s="16"/>
      <c r="D115" s="17"/>
      <c r="E115" s="17"/>
      <c r="F115" s="17"/>
      <c r="G115" s="17"/>
      <c r="H115" s="17"/>
      <c r="I115" s="17"/>
      <c r="J115" s="17"/>
      <c r="K115" s="17"/>
      <c r="L115" s="20"/>
      <c r="M115" s="17"/>
      <c r="N115" s="17"/>
      <c r="O115" s="20"/>
      <c r="P115" s="17"/>
      <c r="Q115" s="17"/>
      <c r="R115" s="17"/>
      <c r="S115" s="17"/>
      <c r="T115" s="17"/>
      <c r="U115" s="17"/>
      <c r="V115" s="17"/>
      <c r="W115" s="17"/>
    </row>
    <row r="116" spans="1:23" x14ac:dyDescent="0.35">
      <c r="A116" s="17"/>
      <c r="B116" s="17"/>
      <c r="C116" s="16"/>
      <c r="D116" s="17"/>
      <c r="E116" s="17"/>
      <c r="F116" s="17"/>
      <c r="G116" s="17"/>
      <c r="H116" s="17"/>
      <c r="I116" s="17"/>
      <c r="J116" s="17"/>
      <c r="K116" s="17"/>
      <c r="L116" s="20"/>
      <c r="M116" s="17"/>
      <c r="N116" s="17"/>
      <c r="O116" s="20"/>
      <c r="P116" s="17"/>
      <c r="Q116" s="17"/>
      <c r="R116" s="17"/>
      <c r="S116" s="17"/>
      <c r="T116" s="17"/>
      <c r="U116" s="17"/>
      <c r="V116" s="17"/>
      <c r="W116" s="17"/>
    </row>
    <row r="117" spans="1:23" x14ac:dyDescent="0.35">
      <c r="A117" s="17"/>
      <c r="B117" s="17"/>
      <c r="C117" s="16"/>
      <c r="D117" s="17"/>
      <c r="E117" s="17"/>
      <c r="F117" s="17"/>
      <c r="G117" s="17"/>
      <c r="H117" s="17"/>
      <c r="I117" s="17"/>
      <c r="J117" s="17"/>
      <c r="K117" s="17"/>
      <c r="L117" s="20"/>
      <c r="M117" s="17"/>
      <c r="N117" s="17"/>
      <c r="O117" s="20"/>
      <c r="P117" s="17"/>
      <c r="Q117" s="17"/>
      <c r="R117" s="17"/>
      <c r="S117" s="17"/>
      <c r="T117" s="17"/>
      <c r="U117" s="17"/>
      <c r="V117" s="17"/>
      <c r="W117" s="17"/>
    </row>
    <row r="118" spans="1:23" x14ac:dyDescent="0.35">
      <c r="A118" s="17"/>
      <c r="B118" s="17"/>
      <c r="C118" s="16"/>
      <c r="D118" s="17"/>
      <c r="E118" s="17"/>
      <c r="F118" s="17"/>
      <c r="G118" s="17"/>
      <c r="H118" s="17"/>
      <c r="I118" s="17"/>
      <c r="J118" s="17"/>
      <c r="K118" s="17"/>
      <c r="L118" s="20"/>
      <c r="M118" s="17"/>
      <c r="N118" s="17"/>
      <c r="O118" s="20"/>
      <c r="P118" s="17"/>
      <c r="Q118" s="17"/>
      <c r="R118" s="17"/>
      <c r="S118" s="17"/>
      <c r="T118" s="17"/>
      <c r="U118" s="17"/>
      <c r="V118" s="17"/>
      <c r="W118" s="17"/>
    </row>
    <row r="119" spans="1:23" x14ac:dyDescent="0.35">
      <c r="A119" s="17"/>
      <c r="B119" s="17"/>
      <c r="C119" s="16"/>
      <c r="D119" s="17"/>
      <c r="E119" s="17"/>
      <c r="F119" s="17"/>
      <c r="G119" s="17"/>
      <c r="H119" s="17"/>
      <c r="I119" s="17"/>
      <c r="J119" s="17"/>
      <c r="K119" s="17"/>
      <c r="L119" s="20"/>
      <c r="M119" s="17"/>
      <c r="N119" s="17"/>
      <c r="O119" s="20"/>
      <c r="P119" s="17"/>
      <c r="Q119" s="17"/>
      <c r="R119" s="17"/>
      <c r="S119" s="17"/>
      <c r="T119" s="17"/>
      <c r="U119" s="17"/>
      <c r="V119" s="17"/>
      <c r="W119" s="17"/>
    </row>
    <row r="120" spans="1:23" x14ac:dyDescent="0.35">
      <c r="A120" s="17"/>
      <c r="B120" s="17"/>
      <c r="C120" s="16"/>
      <c r="D120" s="17"/>
      <c r="E120" s="17"/>
      <c r="F120" s="17"/>
      <c r="G120" s="17"/>
      <c r="H120" s="17"/>
      <c r="I120" s="17"/>
      <c r="J120" s="17"/>
      <c r="K120" s="17"/>
      <c r="L120" s="20"/>
      <c r="M120" s="17"/>
      <c r="N120" s="17"/>
      <c r="O120" s="20"/>
      <c r="P120" s="17"/>
      <c r="Q120" s="17"/>
      <c r="R120" s="17"/>
      <c r="S120" s="17"/>
      <c r="T120" s="17"/>
      <c r="U120" s="17"/>
      <c r="V120" s="17"/>
      <c r="W120" s="17"/>
    </row>
    <row r="121" spans="1:23" x14ac:dyDescent="0.35">
      <c r="A121" s="17"/>
      <c r="B121" s="17"/>
      <c r="C121" s="16"/>
      <c r="D121" s="17"/>
      <c r="E121" s="17"/>
      <c r="F121" s="17"/>
      <c r="G121" s="17"/>
      <c r="H121" s="17"/>
      <c r="I121" s="17"/>
      <c r="J121" s="17"/>
      <c r="K121" s="17"/>
      <c r="L121" s="20"/>
      <c r="M121" s="17"/>
      <c r="N121" s="17"/>
      <c r="O121" s="20"/>
      <c r="P121" s="17"/>
      <c r="Q121" s="17"/>
      <c r="R121" s="17"/>
      <c r="S121" s="17"/>
      <c r="T121" s="17"/>
      <c r="U121" s="17"/>
      <c r="V121" s="17"/>
      <c r="W121" s="17"/>
    </row>
    <row r="122" spans="1:23" x14ac:dyDescent="0.3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20"/>
      <c r="M122" s="17"/>
      <c r="N122" s="17"/>
      <c r="O122" s="20"/>
      <c r="P122" s="17"/>
      <c r="Q122" s="17"/>
      <c r="R122" s="17"/>
      <c r="S122" s="17"/>
      <c r="T122" s="17"/>
      <c r="U122" s="17"/>
      <c r="V122" s="17"/>
      <c r="W122" s="17"/>
    </row>
    <row r="123" spans="1:23" x14ac:dyDescent="0.3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20"/>
      <c r="M123" s="17"/>
      <c r="N123" s="17"/>
      <c r="O123" s="20"/>
      <c r="P123" s="17"/>
      <c r="Q123" s="17"/>
      <c r="R123" s="17"/>
      <c r="S123" s="17"/>
      <c r="T123" s="17"/>
      <c r="U123" s="17"/>
      <c r="V123" s="17"/>
      <c r="W123" s="17"/>
    </row>
    <row r="124" spans="1:23" x14ac:dyDescent="0.3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20"/>
      <c r="M124" s="17"/>
      <c r="N124" s="17"/>
      <c r="O124" s="20"/>
      <c r="P124" s="17"/>
      <c r="Q124" s="17"/>
      <c r="R124" s="17"/>
      <c r="S124" s="17"/>
      <c r="T124" s="17"/>
      <c r="U124" s="17"/>
      <c r="V124" s="17"/>
      <c r="W124" s="17"/>
    </row>
    <row r="125" spans="1:23" x14ac:dyDescent="0.3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20"/>
      <c r="M125" s="17"/>
      <c r="N125" s="17"/>
      <c r="O125" s="20"/>
      <c r="P125" s="17"/>
      <c r="Q125" s="17"/>
      <c r="R125" s="17"/>
      <c r="S125" s="17"/>
      <c r="T125" s="17"/>
      <c r="U125" s="17"/>
      <c r="V125" s="17"/>
      <c r="W125" s="17"/>
    </row>
    <row r="126" spans="1:23" x14ac:dyDescent="0.3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20"/>
      <c r="M126" s="17"/>
      <c r="N126" s="17"/>
      <c r="O126" s="20"/>
      <c r="P126" s="17"/>
      <c r="Q126" s="17"/>
      <c r="R126" s="17"/>
      <c r="S126" s="17"/>
      <c r="T126" s="17"/>
      <c r="U126" s="17"/>
      <c r="V126" s="17"/>
      <c r="W126" s="17"/>
    </row>
    <row r="127" spans="1:23" x14ac:dyDescent="0.3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20"/>
      <c r="M127" s="17"/>
      <c r="N127" s="17"/>
      <c r="O127" s="20"/>
      <c r="P127" s="17"/>
      <c r="Q127" s="17"/>
      <c r="R127" s="17"/>
      <c r="S127" s="17"/>
      <c r="T127" s="17"/>
      <c r="U127" s="17"/>
      <c r="V127" s="17"/>
      <c r="W127" s="17"/>
    </row>
    <row r="128" spans="1:23" x14ac:dyDescent="0.3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20"/>
      <c r="M128" s="17"/>
      <c r="N128" s="17"/>
      <c r="O128" s="20"/>
      <c r="P128" s="17"/>
      <c r="Q128" s="17"/>
      <c r="R128" s="17"/>
      <c r="S128" s="17"/>
      <c r="T128" s="17"/>
      <c r="U128" s="17"/>
      <c r="V128" s="17"/>
      <c r="W128" s="17"/>
    </row>
    <row r="129" spans="1:23" x14ac:dyDescent="0.3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20"/>
      <c r="M129" s="17"/>
      <c r="N129" s="17"/>
      <c r="O129" s="20"/>
      <c r="P129" s="17"/>
      <c r="Q129" s="17"/>
      <c r="R129" s="17"/>
      <c r="S129" s="17"/>
      <c r="T129" s="17"/>
      <c r="U129" s="17"/>
      <c r="V129" s="17"/>
      <c r="W129" s="17"/>
    </row>
    <row r="130" spans="1:23" x14ac:dyDescent="0.3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20"/>
      <c r="M130" s="17"/>
      <c r="N130" s="17"/>
      <c r="O130" s="20"/>
      <c r="P130" s="17"/>
      <c r="Q130" s="17"/>
      <c r="R130" s="17"/>
      <c r="S130" s="17"/>
      <c r="T130" s="17"/>
      <c r="U130" s="17"/>
      <c r="V130" s="17"/>
      <c r="W130" s="17"/>
    </row>
    <row r="131" spans="1:23" x14ac:dyDescent="0.3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20"/>
      <c r="M131" s="17"/>
      <c r="N131" s="17"/>
      <c r="O131" s="20"/>
      <c r="P131" s="17"/>
      <c r="Q131" s="17"/>
      <c r="R131" s="17"/>
      <c r="S131" s="17"/>
      <c r="T131" s="17"/>
      <c r="U131" s="17"/>
      <c r="V131" s="17"/>
      <c r="W131" s="1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WWW</vt:lpstr>
      <vt:lpstr>Rankings</vt:lpstr>
      <vt:lpstr>L3_RL</vt:lpstr>
      <vt:lpstr>HVW</vt:lpstr>
      <vt:lpstr>BHV</vt:lpstr>
      <vt:lpstr>SHV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Joachim Burger</cp:lastModifiedBy>
  <dcterms:created xsi:type="dcterms:W3CDTF">2025-02-13T16:12:09Z</dcterms:created>
  <dcterms:modified xsi:type="dcterms:W3CDTF">2025-05-08T10:03:35Z</dcterms:modified>
</cp:coreProperties>
</file>